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Orienteering\MapRun\2020-21 series\"/>
    </mc:Choice>
  </mc:AlternateContent>
  <xr:revisionPtr revIDLastSave="0" documentId="13_ncr:1_{4B2CAEFA-DF0C-46F7-AC35-25291941BC20}" xr6:coauthVersionLast="47" xr6:coauthVersionMax="47" xr10:uidLastSave="{00000000-0000-0000-0000-000000000000}"/>
  <bookViews>
    <workbookView xWindow="-120" yWindow="-120" windowWidth="19440" windowHeight="15000" firstSheet="1" activeTab="1" xr2:uid="{7D41E7A2-77B7-4ECA-94BD-B89EDB610413}"/>
  </bookViews>
  <sheets>
    <sheet name="handicap lge" sheetId="5" r:id="rId1"/>
    <sheet name="league" sheetId="10" r:id="rId2"/>
    <sheet name="Calculator" sheetId="1" r:id="rId3"/>
    <sheet name="events" sheetId="11" r:id="rId4"/>
    <sheet name="handicap" sheetId="2" r:id="rId5"/>
    <sheet name="lengths" sheetId="4" state="hidden" r:id="rId6"/>
  </sheets>
  <definedNames>
    <definedName name="_xlnm._FilterDatabase" localSheetId="2" hidden="1">Calculator!$A$8:$AI$115</definedName>
    <definedName name="HANDI">handicap!$A$4:$K$39</definedName>
    <definedName name="_xlnm.Print_Area" localSheetId="2">Calculator!$A$1:$AG$116</definedName>
    <definedName name="_xlnm.Print_Titles" localSheetId="2">Calculator!$8:$8</definedName>
  </definedNames>
  <calcPr calcId="181029"/>
  <pivotCaches>
    <pivotCache cacheId="1" r:id="rId7"/>
    <pivotCache cacheId="1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1" l="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92" i="1"/>
  <c r="I93" i="1"/>
  <c r="I94" i="1"/>
  <c r="K94" i="1" s="1"/>
  <c r="L94" i="1" s="1"/>
  <c r="I95" i="1"/>
  <c r="I96" i="1"/>
  <c r="I97" i="1"/>
  <c r="J97" i="1" s="1"/>
  <c r="I98" i="1"/>
  <c r="K98" i="1" s="1"/>
  <c r="I99" i="1"/>
  <c r="I100" i="1"/>
  <c r="K100" i="1" s="1"/>
  <c r="I101" i="1"/>
  <c r="I102" i="1"/>
  <c r="J102" i="1" s="1"/>
  <c r="I103" i="1"/>
  <c r="K103" i="1" s="1"/>
  <c r="L103" i="1" s="1"/>
  <c r="I104" i="1"/>
  <c r="I105" i="1"/>
  <c r="I106" i="1"/>
  <c r="J106" i="1" s="1"/>
  <c r="I107" i="1"/>
  <c r="K107" i="1" s="1"/>
  <c r="L107" i="1" s="1"/>
  <c r="I108" i="1"/>
  <c r="J108" i="1" s="1"/>
  <c r="I109" i="1"/>
  <c r="K109" i="1" s="1"/>
  <c r="L109" i="1" s="1"/>
  <c r="I110" i="1"/>
  <c r="I111" i="1"/>
  <c r="K111" i="1" s="1"/>
  <c r="L111" i="1" s="1"/>
  <c r="I112" i="1"/>
  <c r="K112" i="1" s="1"/>
  <c r="L112" i="1" s="1"/>
  <c r="I113" i="1"/>
  <c r="K113" i="1" s="1"/>
  <c r="L113" i="1" s="1"/>
  <c r="I114" i="1"/>
  <c r="I115" i="1"/>
  <c r="K115" i="1" s="1"/>
  <c r="L115" i="1" s="1"/>
  <c r="AH115" i="1"/>
  <c r="W115" i="1"/>
  <c r="Q115" i="1"/>
  <c r="R115" i="1" s="1"/>
  <c r="S115" i="1" s="1"/>
  <c r="T115" i="1" s="1"/>
  <c r="E115" i="1"/>
  <c r="C115" i="1"/>
  <c r="AH114" i="1"/>
  <c r="W114" i="1"/>
  <c r="Q114" i="1"/>
  <c r="E114" i="1"/>
  <c r="C114" i="1"/>
  <c r="AH113" i="1"/>
  <c r="W113" i="1"/>
  <c r="Q113" i="1"/>
  <c r="R113" i="1" s="1"/>
  <c r="S113" i="1" s="1"/>
  <c r="T113" i="1" s="1"/>
  <c r="E113" i="1"/>
  <c r="C113" i="1"/>
  <c r="AH112" i="1"/>
  <c r="W112" i="1"/>
  <c r="Q112" i="1"/>
  <c r="R112" i="1" s="1"/>
  <c r="S112" i="1" s="1"/>
  <c r="T112" i="1" s="1"/>
  <c r="E112" i="1"/>
  <c r="C112" i="1"/>
  <c r="AH111" i="1"/>
  <c r="W111" i="1"/>
  <c r="Q111" i="1"/>
  <c r="R111" i="1" s="1"/>
  <c r="S111" i="1" s="1"/>
  <c r="T111" i="1" s="1"/>
  <c r="E111" i="1"/>
  <c r="C111" i="1"/>
  <c r="AH110" i="1"/>
  <c r="W110" i="1"/>
  <c r="Q110" i="1"/>
  <c r="E110" i="1"/>
  <c r="C110" i="1"/>
  <c r="AH109" i="1"/>
  <c r="W109" i="1"/>
  <c r="Q109" i="1"/>
  <c r="R109" i="1" s="1"/>
  <c r="S109" i="1" s="1"/>
  <c r="T109" i="1" s="1"/>
  <c r="E109" i="1"/>
  <c r="C109" i="1"/>
  <c r="AH108" i="1"/>
  <c r="W108" i="1"/>
  <c r="Q108" i="1"/>
  <c r="R108" i="1" s="1"/>
  <c r="S108" i="1" s="1"/>
  <c r="T108" i="1" s="1"/>
  <c r="E108" i="1"/>
  <c r="C108" i="1"/>
  <c r="AH107" i="1"/>
  <c r="W107" i="1"/>
  <c r="Q107" i="1"/>
  <c r="R107" i="1" s="1"/>
  <c r="S107" i="1" s="1"/>
  <c r="T107" i="1" s="1"/>
  <c r="E107" i="1"/>
  <c r="C107" i="1"/>
  <c r="AH106" i="1"/>
  <c r="W106" i="1"/>
  <c r="Q106" i="1"/>
  <c r="R106" i="1" s="1"/>
  <c r="S106" i="1" s="1"/>
  <c r="E106" i="1"/>
  <c r="C106" i="1"/>
  <c r="AH105" i="1"/>
  <c r="W105" i="1"/>
  <c r="Q105" i="1"/>
  <c r="R105" i="1" s="1"/>
  <c r="S105" i="1" s="1"/>
  <c r="E105" i="1"/>
  <c r="C105" i="1"/>
  <c r="AH104" i="1"/>
  <c r="W104" i="1"/>
  <c r="Q104" i="1"/>
  <c r="R104" i="1" s="1"/>
  <c r="S104" i="1" s="1"/>
  <c r="T104" i="1" s="1"/>
  <c r="E104" i="1"/>
  <c r="C104" i="1"/>
  <c r="AH103" i="1"/>
  <c r="W103" i="1"/>
  <c r="Q103" i="1"/>
  <c r="R103" i="1" s="1"/>
  <c r="S103" i="1" s="1"/>
  <c r="T103" i="1" s="1"/>
  <c r="E103" i="1"/>
  <c r="C103" i="1"/>
  <c r="AH102" i="1"/>
  <c r="W102" i="1"/>
  <c r="Q102" i="1"/>
  <c r="R102" i="1" s="1"/>
  <c r="S102" i="1" s="1"/>
  <c r="E102" i="1"/>
  <c r="C102" i="1"/>
  <c r="AH101" i="1"/>
  <c r="W101" i="1"/>
  <c r="Q101" i="1"/>
  <c r="R101" i="1" s="1"/>
  <c r="S101" i="1" s="1"/>
  <c r="T101" i="1" s="1"/>
  <c r="E101" i="1"/>
  <c r="C101" i="1"/>
  <c r="AH100" i="1"/>
  <c r="W100" i="1"/>
  <c r="Q100" i="1"/>
  <c r="R100" i="1" s="1"/>
  <c r="S100" i="1" s="1"/>
  <c r="T100" i="1" s="1"/>
  <c r="E100" i="1"/>
  <c r="C100" i="1"/>
  <c r="AH99" i="1"/>
  <c r="W99" i="1"/>
  <c r="Q99" i="1"/>
  <c r="R99" i="1" s="1"/>
  <c r="S99" i="1" s="1"/>
  <c r="E99" i="1"/>
  <c r="C99" i="1"/>
  <c r="AH98" i="1"/>
  <c r="W98" i="1"/>
  <c r="Q98" i="1"/>
  <c r="E98" i="1"/>
  <c r="C98" i="1"/>
  <c r="AH97" i="1"/>
  <c r="W97" i="1"/>
  <c r="Q97" i="1"/>
  <c r="R97" i="1" s="1"/>
  <c r="S97" i="1" s="1"/>
  <c r="T97" i="1" s="1"/>
  <c r="E97" i="1"/>
  <c r="C97" i="1"/>
  <c r="AH96" i="1"/>
  <c r="W96" i="1"/>
  <c r="Q96" i="1"/>
  <c r="E96" i="1"/>
  <c r="C96" i="1"/>
  <c r="AH95" i="1"/>
  <c r="W95" i="1"/>
  <c r="Q95" i="1"/>
  <c r="R95" i="1" s="1"/>
  <c r="S95" i="1" s="1"/>
  <c r="E95" i="1"/>
  <c r="C95" i="1"/>
  <c r="AH94" i="1"/>
  <c r="W94" i="1"/>
  <c r="Q94" i="1"/>
  <c r="R94" i="1" s="1"/>
  <c r="S94" i="1" s="1"/>
  <c r="T94" i="1" s="1"/>
  <c r="E94" i="1"/>
  <c r="C94" i="1"/>
  <c r="AH83" i="1"/>
  <c r="W83" i="1"/>
  <c r="Q83" i="1"/>
  <c r="R83" i="1" s="1"/>
  <c r="S83" i="1" s="1"/>
  <c r="T83" i="1" s="1"/>
  <c r="I83" i="1"/>
  <c r="J83" i="1" s="1"/>
  <c r="E83" i="1"/>
  <c r="C83" i="1"/>
  <c r="K34" i="11"/>
  <c r="K29" i="11"/>
  <c r="K28" i="11"/>
  <c r="K22" i="11"/>
  <c r="K13" i="11"/>
  <c r="K20" i="11"/>
  <c r="K5" i="11"/>
  <c r="K6" i="11"/>
  <c r="K7" i="11"/>
  <c r="K8" i="11"/>
  <c r="K9" i="11"/>
  <c r="K10" i="11"/>
  <c r="K11" i="11"/>
  <c r="K12" i="11"/>
  <c r="K14" i="11"/>
  <c r="K15" i="11"/>
  <c r="K16" i="11"/>
  <c r="K17" i="11"/>
  <c r="K18" i="11"/>
  <c r="K19" i="11"/>
  <c r="K21" i="11"/>
  <c r="K23" i="11"/>
  <c r="K24" i="11"/>
  <c r="K25" i="11"/>
  <c r="K26" i="11"/>
  <c r="K27" i="11"/>
  <c r="K30" i="11"/>
  <c r="K31" i="11"/>
  <c r="K32" i="11"/>
  <c r="K33" i="11"/>
  <c r="K35" i="11"/>
  <c r="K36" i="11"/>
  <c r="K37" i="11"/>
  <c r="K38" i="11"/>
  <c r="K39" i="11"/>
  <c r="K40" i="11"/>
  <c r="K41" i="11"/>
  <c r="K42" i="11"/>
  <c r="K43" i="11"/>
  <c r="K4" i="11"/>
  <c r="I39" i="11" l="1"/>
  <c r="X109" i="1"/>
  <c r="J112" i="1"/>
  <c r="K108" i="1"/>
  <c r="L108" i="1" s="1"/>
  <c r="J104" i="1"/>
  <c r="K104" i="1"/>
  <c r="L104" i="1" s="1"/>
  <c r="L100" i="1"/>
  <c r="J100" i="1"/>
  <c r="K97" i="1"/>
  <c r="L97" i="1" s="1"/>
  <c r="J94" i="1"/>
  <c r="J103" i="1"/>
  <c r="J115" i="1"/>
  <c r="J107" i="1"/>
  <c r="J111" i="1"/>
  <c r="X94" i="1"/>
  <c r="X111" i="1"/>
  <c r="K114" i="1"/>
  <c r="L114" i="1" s="1"/>
  <c r="J114" i="1"/>
  <c r="K96" i="1"/>
  <c r="L96" i="1" s="1"/>
  <c r="X113" i="1"/>
  <c r="T95" i="1"/>
  <c r="J96" i="1"/>
  <c r="X100" i="1"/>
  <c r="X101" i="1"/>
  <c r="X108" i="1"/>
  <c r="K95" i="1"/>
  <c r="J95" i="1"/>
  <c r="J99" i="1"/>
  <c r="K99" i="1"/>
  <c r="L99" i="1" s="1"/>
  <c r="X104" i="1"/>
  <c r="X112" i="1"/>
  <c r="L95" i="1"/>
  <c r="R96" i="1"/>
  <c r="S96" i="1" s="1"/>
  <c r="T96" i="1" s="1"/>
  <c r="X97" i="1"/>
  <c r="R98" i="1"/>
  <c r="S98" i="1" s="1"/>
  <c r="T98" i="1" s="1"/>
  <c r="J98" i="1"/>
  <c r="T105" i="1"/>
  <c r="X107" i="1"/>
  <c r="K110" i="1"/>
  <c r="L110" i="1" s="1"/>
  <c r="J110" i="1"/>
  <c r="X115" i="1"/>
  <c r="K101" i="1"/>
  <c r="L101" i="1" s="1"/>
  <c r="J101" i="1"/>
  <c r="T102" i="1"/>
  <c r="K106" i="1"/>
  <c r="L106" i="1" s="1"/>
  <c r="R114" i="1"/>
  <c r="S114" i="1" s="1"/>
  <c r="T114" i="1" s="1"/>
  <c r="L98" i="1"/>
  <c r="T99" i="1"/>
  <c r="K102" i="1"/>
  <c r="L102" i="1" s="1"/>
  <c r="X103" i="1"/>
  <c r="K105" i="1"/>
  <c r="L105" i="1" s="1"/>
  <c r="J105" i="1"/>
  <c r="T106" i="1"/>
  <c r="R110" i="1"/>
  <c r="S110" i="1" s="1"/>
  <c r="T110" i="1" s="1"/>
  <c r="J109" i="1"/>
  <c r="J113" i="1"/>
  <c r="X83" i="1"/>
  <c r="K83" i="1"/>
  <c r="L83" i="1" s="1"/>
  <c r="K45" i="11"/>
  <c r="X114" i="1" l="1"/>
  <c r="X110" i="1"/>
  <c r="X106" i="1"/>
  <c r="X95" i="1"/>
  <c r="X105" i="1"/>
  <c r="X98" i="1"/>
  <c r="X96" i="1"/>
  <c r="X99" i="1"/>
  <c r="X102" i="1"/>
  <c r="AH92" i="1"/>
  <c r="W92" i="1"/>
  <c r="Q92" i="1"/>
  <c r="E92" i="1"/>
  <c r="C92" i="1"/>
  <c r="AH91" i="1"/>
  <c r="W91" i="1"/>
  <c r="Q91" i="1"/>
  <c r="I91" i="1"/>
  <c r="E91" i="1"/>
  <c r="C91" i="1"/>
  <c r="AH90" i="1"/>
  <c r="W90" i="1"/>
  <c r="Q90" i="1"/>
  <c r="I90" i="1"/>
  <c r="K90" i="1" s="1"/>
  <c r="L90" i="1" s="1"/>
  <c r="E90" i="1"/>
  <c r="C90" i="1"/>
  <c r="AH89" i="1"/>
  <c r="W89" i="1"/>
  <c r="Q89" i="1"/>
  <c r="I89" i="1"/>
  <c r="K89" i="1" s="1"/>
  <c r="L89" i="1" s="1"/>
  <c r="E89" i="1"/>
  <c r="C89" i="1"/>
  <c r="AH88" i="1"/>
  <c r="W88" i="1"/>
  <c r="Q88" i="1"/>
  <c r="I88" i="1"/>
  <c r="J88" i="1" s="1"/>
  <c r="E88" i="1"/>
  <c r="C88" i="1"/>
  <c r="AH87" i="1"/>
  <c r="W87" i="1"/>
  <c r="Q87" i="1"/>
  <c r="I87" i="1"/>
  <c r="E87" i="1"/>
  <c r="C87" i="1"/>
  <c r="AH86" i="1"/>
  <c r="W86" i="1"/>
  <c r="Q86" i="1"/>
  <c r="I86" i="1"/>
  <c r="J86" i="1" s="1"/>
  <c r="E86" i="1"/>
  <c r="C86" i="1"/>
  <c r="AH85" i="1"/>
  <c r="W85" i="1"/>
  <c r="Q85" i="1"/>
  <c r="I85" i="1"/>
  <c r="J85" i="1" s="1"/>
  <c r="E85" i="1"/>
  <c r="C85" i="1"/>
  <c r="AH84" i="1"/>
  <c r="W84" i="1"/>
  <c r="Q84" i="1"/>
  <c r="I84" i="1"/>
  <c r="J84" i="1" s="1"/>
  <c r="E84" i="1"/>
  <c r="C84" i="1"/>
  <c r="AH82" i="1"/>
  <c r="W82" i="1"/>
  <c r="Q82" i="1"/>
  <c r="I82" i="1"/>
  <c r="J82" i="1" s="1"/>
  <c r="E82" i="1"/>
  <c r="C82" i="1"/>
  <c r="AH81" i="1"/>
  <c r="W81" i="1"/>
  <c r="Q81" i="1"/>
  <c r="I81" i="1"/>
  <c r="K81" i="1" s="1"/>
  <c r="L81" i="1" s="1"/>
  <c r="R81" i="1" s="1"/>
  <c r="S81" i="1" s="1"/>
  <c r="T81" i="1" s="1"/>
  <c r="E81" i="1"/>
  <c r="C81" i="1"/>
  <c r="AH80" i="1"/>
  <c r="W80" i="1"/>
  <c r="Q80" i="1"/>
  <c r="I80" i="1"/>
  <c r="J80" i="1" s="1"/>
  <c r="E80" i="1"/>
  <c r="C80" i="1"/>
  <c r="AH79" i="1"/>
  <c r="W79" i="1"/>
  <c r="Q79" i="1"/>
  <c r="I79" i="1"/>
  <c r="E79" i="1"/>
  <c r="C79" i="1"/>
  <c r="AH78" i="1"/>
  <c r="W78" i="1"/>
  <c r="Q78" i="1"/>
  <c r="I78" i="1"/>
  <c r="J78" i="1" s="1"/>
  <c r="E78" i="1"/>
  <c r="C78" i="1"/>
  <c r="AH77" i="1"/>
  <c r="W77" i="1"/>
  <c r="Q77" i="1"/>
  <c r="I77" i="1"/>
  <c r="J77" i="1" s="1"/>
  <c r="E77" i="1"/>
  <c r="C77" i="1"/>
  <c r="AH76" i="1"/>
  <c r="W76" i="1"/>
  <c r="Q76" i="1"/>
  <c r="I76" i="1"/>
  <c r="J76" i="1" s="1"/>
  <c r="E76" i="1"/>
  <c r="C76" i="1"/>
  <c r="AH75" i="1"/>
  <c r="W75" i="1"/>
  <c r="Q75" i="1"/>
  <c r="I75" i="1"/>
  <c r="E75" i="1"/>
  <c r="C75" i="1"/>
  <c r="AH74" i="1"/>
  <c r="W74" i="1"/>
  <c r="Q74" i="1"/>
  <c r="R74" i="1" s="1"/>
  <c r="S74" i="1" s="1"/>
  <c r="T74" i="1" s="1"/>
  <c r="I74" i="1"/>
  <c r="K74" i="1" s="1"/>
  <c r="E74" i="1"/>
  <c r="C74" i="1"/>
  <c r="I73" i="1"/>
  <c r="I72" i="1"/>
  <c r="I71" i="1"/>
  <c r="I70" i="1"/>
  <c r="I69" i="1"/>
  <c r="I68" i="1"/>
  <c r="I67" i="1"/>
  <c r="I66" i="1"/>
  <c r="I65" i="1"/>
  <c r="I64" i="1"/>
  <c r="I63" i="1"/>
  <c r="I62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93" i="1"/>
  <c r="AH3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9" i="1"/>
  <c r="K85" i="1" l="1"/>
  <c r="L85" i="1" s="1"/>
  <c r="R85" i="1" s="1"/>
  <c r="S85" i="1" s="1"/>
  <c r="T85" i="1" s="1"/>
  <c r="X85" i="1" s="1"/>
  <c r="J92" i="1"/>
  <c r="R89" i="1"/>
  <c r="S89" i="1" s="1"/>
  <c r="T89" i="1" s="1"/>
  <c r="X89" i="1" s="1"/>
  <c r="K92" i="1"/>
  <c r="L92" i="1" s="1"/>
  <c r="R92" i="1" s="1"/>
  <c r="S92" i="1" s="1"/>
  <c r="T92" i="1" s="1"/>
  <c r="X92" i="1" s="1"/>
  <c r="K86" i="1"/>
  <c r="L86" i="1" s="1"/>
  <c r="R86" i="1" s="1"/>
  <c r="S86" i="1" s="1"/>
  <c r="T86" i="1" s="1"/>
  <c r="J89" i="1"/>
  <c r="J74" i="1"/>
  <c r="K82" i="1"/>
  <c r="L82" i="1" s="1"/>
  <c r="R82" i="1" s="1"/>
  <c r="S82" i="1" s="1"/>
  <c r="T82" i="1" s="1"/>
  <c r="J81" i="1"/>
  <c r="K78" i="1"/>
  <c r="L78" i="1" s="1"/>
  <c r="R78" i="1" s="1"/>
  <c r="S78" i="1" s="1"/>
  <c r="T78" i="1" s="1"/>
  <c r="X78" i="1" s="1"/>
  <c r="K77" i="1"/>
  <c r="L77" i="1" s="1"/>
  <c r="R77" i="1" s="1"/>
  <c r="S77" i="1" s="1"/>
  <c r="T77" i="1" s="1"/>
  <c r="X77" i="1" s="1"/>
  <c r="K75" i="1"/>
  <c r="L75" i="1" s="1"/>
  <c r="R75" i="1" s="1"/>
  <c r="S75" i="1" s="1"/>
  <c r="T75" i="1" s="1"/>
  <c r="J75" i="1"/>
  <c r="X81" i="1"/>
  <c r="K87" i="1"/>
  <c r="L87" i="1" s="1"/>
  <c r="R87" i="1" s="1"/>
  <c r="S87" i="1" s="1"/>
  <c r="T87" i="1" s="1"/>
  <c r="J87" i="1"/>
  <c r="K79" i="1"/>
  <c r="L79" i="1" s="1"/>
  <c r="R79" i="1" s="1"/>
  <c r="S79" i="1" s="1"/>
  <c r="T79" i="1" s="1"/>
  <c r="J79" i="1"/>
  <c r="R90" i="1"/>
  <c r="S90" i="1" s="1"/>
  <c r="T90" i="1" s="1"/>
  <c r="K76" i="1"/>
  <c r="L76" i="1" s="1"/>
  <c r="R76" i="1" s="1"/>
  <c r="S76" i="1" s="1"/>
  <c r="T76" i="1" s="1"/>
  <c r="K80" i="1"/>
  <c r="L80" i="1" s="1"/>
  <c r="R80" i="1" s="1"/>
  <c r="S80" i="1" s="1"/>
  <c r="T80" i="1" s="1"/>
  <c r="K84" i="1"/>
  <c r="L84" i="1" s="1"/>
  <c r="R84" i="1" s="1"/>
  <c r="S84" i="1" s="1"/>
  <c r="T84" i="1" s="1"/>
  <c r="K88" i="1"/>
  <c r="L88" i="1" s="1"/>
  <c r="R88" i="1" s="1"/>
  <c r="S88" i="1" s="1"/>
  <c r="T88" i="1" s="1"/>
  <c r="J91" i="1"/>
  <c r="J90" i="1"/>
  <c r="K91" i="1"/>
  <c r="L91" i="1" s="1"/>
  <c r="R91" i="1" s="1"/>
  <c r="S91" i="1" s="1"/>
  <c r="T91" i="1" s="1"/>
  <c r="L74" i="1"/>
  <c r="X74" i="1"/>
  <c r="W63" i="1"/>
  <c r="Q63" i="1"/>
  <c r="J63" i="1"/>
  <c r="E63" i="1"/>
  <c r="C63" i="1"/>
  <c r="J48" i="1"/>
  <c r="X76" i="1" l="1"/>
  <c r="X88" i="1"/>
  <c r="X80" i="1"/>
  <c r="X79" i="1"/>
  <c r="X84" i="1"/>
  <c r="X91" i="1"/>
  <c r="X87" i="1"/>
  <c r="X75" i="1"/>
  <c r="X82" i="1"/>
  <c r="X90" i="1"/>
  <c r="X86" i="1"/>
  <c r="R63" i="1"/>
  <c r="S63" i="1" s="1"/>
  <c r="T63" i="1" s="1"/>
  <c r="X63" i="1" s="1"/>
  <c r="K48" i="1"/>
  <c r="L48" i="1" s="1"/>
  <c r="K63" i="1"/>
  <c r="L63" i="1" s="1"/>
  <c r="E49" i="1" l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93" i="1"/>
  <c r="W93" i="1"/>
  <c r="Q93" i="1"/>
  <c r="C93" i="1"/>
  <c r="W73" i="1"/>
  <c r="Q73" i="1"/>
  <c r="C73" i="1"/>
  <c r="W72" i="1"/>
  <c r="Q72" i="1"/>
  <c r="C72" i="1"/>
  <c r="W71" i="1"/>
  <c r="Q71" i="1"/>
  <c r="C71" i="1"/>
  <c r="W70" i="1"/>
  <c r="Q70" i="1"/>
  <c r="C70" i="1"/>
  <c r="W69" i="1"/>
  <c r="Q69" i="1"/>
  <c r="C69" i="1"/>
  <c r="W68" i="1"/>
  <c r="Q68" i="1"/>
  <c r="R68" i="1" s="1"/>
  <c r="C68" i="1"/>
  <c r="W67" i="1"/>
  <c r="Q67" i="1"/>
  <c r="C67" i="1"/>
  <c r="W66" i="1"/>
  <c r="Q66" i="1"/>
  <c r="C66" i="1"/>
  <c r="W65" i="1"/>
  <c r="Q65" i="1"/>
  <c r="C65" i="1"/>
  <c r="W64" i="1"/>
  <c r="Q64" i="1"/>
  <c r="C64" i="1"/>
  <c r="W62" i="1"/>
  <c r="Q62" i="1"/>
  <c r="C62" i="1"/>
  <c r="W61" i="1"/>
  <c r="Q61" i="1"/>
  <c r="C61" i="1"/>
  <c r="W60" i="1"/>
  <c r="Q60" i="1"/>
  <c r="C60" i="1"/>
  <c r="W59" i="1"/>
  <c r="Q59" i="1"/>
  <c r="C59" i="1"/>
  <c r="W58" i="1"/>
  <c r="Q58" i="1"/>
  <c r="C58" i="1"/>
  <c r="W57" i="1"/>
  <c r="Q57" i="1"/>
  <c r="C57" i="1"/>
  <c r="W56" i="1"/>
  <c r="Q56" i="1"/>
  <c r="C56" i="1"/>
  <c r="W55" i="1"/>
  <c r="Q55" i="1"/>
  <c r="R55" i="1" s="1"/>
  <c r="C55" i="1"/>
  <c r="W54" i="1"/>
  <c r="Q54" i="1"/>
  <c r="C54" i="1"/>
  <c r="W53" i="1"/>
  <c r="Q53" i="1"/>
  <c r="C53" i="1"/>
  <c r="W52" i="1"/>
  <c r="Q52" i="1"/>
  <c r="C52" i="1"/>
  <c r="W51" i="1"/>
  <c r="Q51" i="1"/>
  <c r="C51" i="1"/>
  <c r="W50" i="1"/>
  <c r="Q50" i="1"/>
  <c r="C50" i="1"/>
  <c r="W49" i="1"/>
  <c r="Q49" i="1"/>
  <c r="C49" i="1"/>
  <c r="O43" i="1"/>
  <c r="W38" i="1"/>
  <c r="Q38" i="1"/>
  <c r="E38" i="1"/>
  <c r="C38" i="1"/>
  <c r="R50" i="1" l="1"/>
  <c r="S50" i="1" s="1"/>
  <c r="T50" i="1" s="1"/>
  <c r="X50" i="1" s="1"/>
  <c r="R58" i="1"/>
  <c r="S58" i="1" s="1"/>
  <c r="T58" i="1" s="1"/>
  <c r="X58" i="1" s="1"/>
  <c r="R67" i="1"/>
  <c r="S67" i="1" s="1"/>
  <c r="T67" i="1" s="1"/>
  <c r="X67" i="1" s="1"/>
  <c r="R53" i="1"/>
  <c r="S53" i="1" s="1"/>
  <c r="T53" i="1" s="1"/>
  <c r="R61" i="1"/>
  <c r="S61" i="1" s="1"/>
  <c r="T61" i="1" s="1"/>
  <c r="X61" i="1" s="1"/>
  <c r="R52" i="1"/>
  <c r="S52" i="1" s="1"/>
  <c r="T52" i="1" s="1"/>
  <c r="R60" i="1"/>
  <c r="S60" i="1" s="1"/>
  <c r="T60" i="1" s="1"/>
  <c r="X60" i="1" s="1"/>
  <c r="R69" i="1"/>
  <c r="S69" i="1" s="1"/>
  <c r="T69" i="1" s="1"/>
  <c r="X69" i="1" s="1"/>
  <c r="R73" i="1"/>
  <c r="S73" i="1" s="1"/>
  <c r="T73" i="1" s="1"/>
  <c r="X73" i="1" s="1"/>
  <c r="R54" i="1"/>
  <c r="S54" i="1" s="1"/>
  <c r="T54" i="1" s="1"/>
  <c r="R62" i="1"/>
  <c r="S62" i="1" s="1"/>
  <c r="T62" i="1" s="1"/>
  <c r="X62" i="1" s="1"/>
  <c r="R71" i="1"/>
  <c r="S71" i="1" s="1"/>
  <c r="T71" i="1" s="1"/>
  <c r="X71" i="1" s="1"/>
  <c r="R38" i="1"/>
  <c r="S38" i="1" s="1"/>
  <c r="T38" i="1" s="1"/>
  <c r="X38" i="1" s="1"/>
  <c r="R49" i="1"/>
  <c r="S49" i="1" s="1"/>
  <c r="T49" i="1" s="1"/>
  <c r="X49" i="1" s="1"/>
  <c r="R57" i="1"/>
  <c r="S57" i="1" s="1"/>
  <c r="T57" i="1" s="1"/>
  <c r="X57" i="1" s="1"/>
  <c r="R66" i="1"/>
  <c r="S66" i="1" s="1"/>
  <c r="T66" i="1" s="1"/>
  <c r="X66" i="1" s="1"/>
  <c r="R70" i="1"/>
  <c r="S70" i="1" s="1"/>
  <c r="T70" i="1" s="1"/>
  <c r="X70" i="1" s="1"/>
  <c r="R56" i="1"/>
  <c r="S56" i="1" s="1"/>
  <c r="T56" i="1" s="1"/>
  <c r="X56" i="1" s="1"/>
  <c r="R65" i="1"/>
  <c r="S65" i="1" s="1"/>
  <c r="T65" i="1" s="1"/>
  <c r="X65" i="1" s="1"/>
  <c r="R51" i="1"/>
  <c r="S51" i="1" s="1"/>
  <c r="T51" i="1" s="1"/>
  <c r="R59" i="1"/>
  <c r="S59" i="1" s="1"/>
  <c r="T59" i="1" s="1"/>
  <c r="X59" i="1" s="1"/>
  <c r="R64" i="1"/>
  <c r="S64" i="1" s="1"/>
  <c r="T64" i="1" s="1"/>
  <c r="X64" i="1" s="1"/>
  <c r="R72" i="1"/>
  <c r="S72" i="1" s="1"/>
  <c r="T72" i="1" s="1"/>
  <c r="X72" i="1" s="1"/>
  <c r="J52" i="1"/>
  <c r="K52" i="1"/>
  <c r="L52" i="1" s="1"/>
  <c r="J56" i="1"/>
  <c r="K56" i="1"/>
  <c r="L56" i="1" s="1"/>
  <c r="J60" i="1"/>
  <c r="K60" i="1"/>
  <c r="L60" i="1" s="1"/>
  <c r="J93" i="1"/>
  <c r="K93" i="1"/>
  <c r="L93" i="1" s="1"/>
  <c r="R93" i="1" s="1"/>
  <c r="S93" i="1" s="1"/>
  <c r="T93" i="1" s="1"/>
  <c r="X93" i="1" s="1"/>
  <c r="J72" i="1"/>
  <c r="K72" i="1"/>
  <c r="L72" i="1" s="1"/>
  <c r="J70" i="1"/>
  <c r="K70" i="1"/>
  <c r="L70" i="1" s="1"/>
  <c r="J68" i="1"/>
  <c r="K68" i="1"/>
  <c r="L68" i="1" s="1"/>
  <c r="J66" i="1"/>
  <c r="K66" i="1"/>
  <c r="L66" i="1" s="1"/>
  <c r="J64" i="1"/>
  <c r="K64" i="1"/>
  <c r="L64" i="1" s="1"/>
  <c r="J49" i="1"/>
  <c r="K49" i="1"/>
  <c r="L49" i="1" s="1"/>
  <c r="J53" i="1"/>
  <c r="K53" i="1"/>
  <c r="L53" i="1" s="1"/>
  <c r="J57" i="1"/>
  <c r="K57" i="1"/>
  <c r="L57" i="1" s="1"/>
  <c r="J61" i="1"/>
  <c r="K61" i="1"/>
  <c r="L61" i="1" s="1"/>
  <c r="K50" i="1"/>
  <c r="L50" i="1" s="1"/>
  <c r="J50" i="1"/>
  <c r="J54" i="1"/>
  <c r="K54" i="1"/>
  <c r="L54" i="1" s="1"/>
  <c r="K58" i="1"/>
  <c r="L58" i="1" s="1"/>
  <c r="J58" i="1"/>
  <c r="J62" i="1"/>
  <c r="K62" i="1"/>
  <c r="L62" i="1" s="1"/>
  <c r="J73" i="1"/>
  <c r="K73" i="1"/>
  <c r="L73" i="1" s="1"/>
  <c r="J71" i="1"/>
  <c r="K71" i="1"/>
  <c r="L71" i="1" s="1"/>
  <c r="J69" i="1"/>
  <c r="K69" i="1"/>
  <c r="L69" i="1" s="1"/>
  <c r="K67" i="1"/>
  <c r="L67" i="1" s="1"/>
  <c r="J67" i="1"/>
  <c r="J65" i="1"/>
  <c r="K65" i="1"/>
  <c r="L65" i="1" s="1"/>
  <c r="J51" i="1"/>
  <c r="K51" i="1"/>
  <c r="L51" i="1" s="1"/>
  <c r="J55" i="1"/>
  <c r="K55" i="1"/>
  <c r="L55" i="1" s="1"/>
  <c r="J59" i="1"/>
  <c r="K59" i="1"/>
  <c r="L59" i="1" s="1"/>
  <c r="S68" i="1"/>
  <c r="T68" i="1" s="1"/>
  <c r="X68" i="1" s="1"/>
  <c r="S55" i="1"/>
  <c r="T55" i="1" s="1"/>
  <c r="J38" i="1"/>
  <c r="K38" i="1"/>
  <c r="L38" i="1" s="1"/>
  <c r="W32" i="1"/>
  <c r="Q32" i="1"/>
  <c r="E32" i="1"/>
  <c r="C32" i="1"/>
  <c r="R32" i="1" l="1"/>
  <c r="S32" i="1" s="1"/>
  <c r="T32" i="1" s="1"/>
  <c r="X32" i="1" s="1"/>
  <c r="X55" i="1"/>
  <c r="X54" i="1"/>
  <c r="X52" i="1"/>
  <c r="X53" i="1"/>
  <c r="X51" i="1"/>
  <c r="J32" i="1"/>
  <c r="K32" i="1"/>
  <c r="L32" i="1" s="1"/>
  <c r="W30" i="1"/>
  <c r="Q30" i="1"/>
  <c r="J30" i="1"/>
  <c r="E30" i="1"/>
  <c r="C30" i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W40" i="1"/>
  <c r="Q40" i="1"/>
  <c r="E40" i="1"/>
  <c r="C40" i="1"/>
  <c r="W39" i="1"/>
  <c r="Q39" i="1"/>
  <c r="K39" i="1"/>
  <c r="L39" i="1" s="1"/>
  <c r="E39" i="1"/>
  <c r="C39" i="1"/>
  <c r="W48" i="1"/>
  <c r="W47" i="1"/>
  <c r="W46" i="1"/>
  <c r="W45" i="1"/>
  <c r="W44" i="1"/>
  <c r="W43" i="1"/>
  <c r="W42" i="1"/>
  <c r="W41" i="1"/>
  <c r="W37" i="1"/>
  <c r="W36" i="1"/>
  <c r="W35" i="1"/>
  <c r="W34" i="1"/>
  <c r="W33" i="1"/>
  <c r="W31" i="1"/>
  <c r="Q41" i="1"/>
  <c r="Q37" i="1"/>
  <c r="Q36" i="1"/>
  <c r="Q35" i="1"/>
  <c r="Q34" i="1"/>
  <c r="Q33" i="1"/>
  <c r="Q31" i="1"/>
  <c r="J37" i="1"/>
  <c r="K36" i="1"/>
  <c r="J35" i="1"/>
  <c r="J34" i="1"/>
  <c r="J33" i="1"/>
  <c r="J31" i="1"/>
  <c r="E33" i="1"/>
  <c r="E34" i="1"/>
  <c r="E35" i="1"/>
  <c r="E36" i="1"/>
  <c r="E37" i="1"/>
  <c r="E41" i="1"/>
  <c r="E42" i="1"/>
  <c r="E43" i="1"/>
  <c r="E44" i="1"/>
  <c r="E45" i="1"/>
  <c r="E46" i="1"/>
  <c r="E47" i="1"/>
  <c r="E48" i="1"/>
  <c r="C48" i="1"/>
  <c r="C47" i="1"/>
  <c r="C46" i="1"/>
  <c r="C45" i="1"/>
  <c r="C44" i="1"/>
  <c r="C43" i="1"/>
  <c r="C42" i="1"/>
  <c r="C41" i="1"/>
  <c r="C37" i="1"/>
  <c r="C36" i="1"/>
  <c r="C35" i="1"/>
  <c r="C34" i="1"/>
  <c r="C33" i="1"/>
  <c r="E31" i="1"/>
  <c r="C31" i="1"/>
  <c r="R31" i="1" l="1"/>
  <c r="S31" i="1" s="1"/>
  <c r="T31" i="1" s="1"/>
  <c r="R36" i="1"/>
  <c r="S36" i="1" s="1"/>
  <c r="T36" i="1" s="1"/>
  <c r="R40" i="1"/>
  <c r="S40" i="1" s="1"/>
  <c r="T40" i="1" s="1"/>
  <c r="X40" i="1" s="1"/>
  <c r="R30" i="1"/>
  <c r="S30" i="1" s="1"/>
  <c r="T30" i="1" s="1"/>
  <c r="X30" i="1" s="1"/>
  <c r="R33" i="1"/>
  <c r="S33" i="1" s="1"/>
  <c r="T33" i="1" s="1"/>
  <c r="R37" i="1"/>
  <c r="S37" i="1" s="1"/>
  <c r="T37" i="1" s="1"/>
  <c r="R34" i="1"/>
  <c r="S34" i="1" s="1"/>
  <c r="T34" i="1" s="1"/>
  <c r="R41" i="1"/>
  <c r="S41" i="1" s="1"/>
  <c r="T41" i="1" s="1"/>
  <c r="R39" i="1"/>
  <c r="S39" i="1" s="1"/>
  <c r="T39" i="1" s="1"/>
  <c r="X39" i="1" s="1"/>
  <c r="R35" i="1"/>
  <c r="S35" i="1" s="1"/>
  <c r="T35" i="1" s="1"/>
  <c r="X35" i="1" s="1"/>
  <c r="J46" i="1"/>
  <c r="K46" i="1"/>
  <c r="L46" i="1" s="1"/>
  <c r="J43" i="1"/>
  <c r="K43" i="1"/>
  <c r="L43" i="1" s="1"/>
  <c r="J47" i="1"/>
  <c r="K47" i="1"/>
  <c r="L47" i="1" s="1"/>
  <c r="K42" i="1"/>
  <c r="L42" i="1" s="1"/>
  <c r="J42" i="1"/>
  <c r="K40" i="1"/>
  <c r="L40" i="1" s="1"/>
  <c r="J40" i="1"/>
  <c r="J44" i="1"/>
  <c r="K44" i="1"/>
  <c r="L44" i="1" s="1"/>
  <c r="J41" i="1"/>
  <c r="K41" i="1"/>
  <c r="L41" i="1" s="1"/>
  <c r="J45" i="1"/>
  <c r="K45" i="1"/>
  <c r="L45" i="1" s="1"/>
  <c r="K30" i="1"/>
  <c r="L30" i="1" s="1"/>
  <c r="S42" i="1"/>
  <c r="T42" i="1" s="1"/>
  <c r="X42" i="1" s="1"/>
  <c r="S43" i="1"/>
  <c r="T43" i="1" s="1"/>
  <c r="X43" i="1" s="1"/>
  <c r="S44" i="1"/>
  <c r="T44" i="1" s="1"/>
  <c r="X44" i="1" s="1"/>
  <c r="S45" i="1"/>
  <c r="T45" i="1" s="1"/>
  <c r="X45" i="1" s="1"/>
  <c r="S46" i="1"/>
  <c r="T46" i="1" s="1"/>
  <c r="X46" i="1" s="1"/>
  <c r="S47" i="1"/>
  <c r="T47" i="1" s="1"/>
  <c r="X47" i="1" s="1"/>
  <c r="S48" i="1"/>
  <c r="T48" i="1" s="1"/>
  <c r="X48" i="1" s="1"/>
  <c r="J39" i="1"/>
  <c r="K37" i="1"/>
  <c r="L37" i="1" s="1"/>
  <c r="J36" i="1"/>
  <c r="L36" i="1"/>
  <c r="K35" i="1"/>
  <c r="L35" i="1" s="1"/>
  <c r="K34" i="1"/>
  <c r="L34" i="1" s="1"/>
  <c r="K33" i="1"/>
  <c r="L33" i="1" s="1"/>
  <c r="K31" i="1"/>
  <c r="L31" i="1" s="1"/>
  <c r="Q23" i="1"/>
  <c r="R23" i="1" s="1"/>
  <c r="Q26" i="1"/>
  <c r="R26" i="1" s="1"/>
  <c r="X36" i="1" l="1"/>
  <c r="X33" i="1"/>
  <c r="X34" i="1"/>
  <c r="X31" i="1"/>
  <c r="X37" i="1"/>
  <c r="X41" i="1"/>
  <c r="W25" i="1"/>
  <c r="Q25" i="1"/>
  <c r="E25" i="1"/>
  <c r="C25" i="1"/>
  <c r="W24" i="1"/>
  <c r="Q24" i="1"/>
  <c r="R24" i="1" s="1"/>
  <c r="K24" i="1"/>
  <c r="L24" i="1" s="1"/>
  <c r="E24" i="1"/>
  <c r="C24" i="1"/>
  <c r="W23" i="1"/>
  <c r="J23" i="1"/>
  <c r="E23" i="1"/>
  <c r="C23" i="1"/>
  <c r="W22" i="1"/>
  <c r="Q22" i="1"/>
  <c r="K22" i="1"/>
  <c r="L22" i="1" s="1"/>
  <c r="E22" i="1"/>
  <c r="C22" i="1"/>
  <c r="W21" i="1"/>
  <c r="Q21" i="1"/>
  <c r="E21" i="1"/>
  <c r="C21" i="1"/>
  <c r="W20" i="1"/>
  <c r="Q20" i="1"/>
  <c r="K20" i="1"/>
  <c r="L20" i="1" s="1"/>
  <c r="E20" i="1"/>
  <c r="C20" i="1"/>
  <c r="W19" i="1"/>
  <c r="Q19" i="1"/>
  <c r="J19" i="1"/>
  <c r="E19" i="1"/>
  <c r="C19" i="1"/>
  <c r="W18" i="1"/>
  <c r="Q18" i="1"/>
  <c r="K18" i="1"/>
  <c r="L18" i="1" s="1"/>
  <c r="E18" i="1"/>
  <c r="C18" i="1"/>
  <c r="W17" i="1"/>
  <c r="Q17" i="1"/>
  <c r="E17" i="1"/>
  <c r="C17" i="1"/>
  <c r="W16" i="1"/>
  <c r="Q16" i="1"/>
  <c r="K16" i="1"/>
  <c r="L16" i="1" s="1"/>
  <c r="E16" i="1"/>
  <c r="C16" i="1"/>
  <c r="W15" i="1"/>
  <c r="Q15" i="1"/>
  <c r="J15" i="1"/>
  <c r="E15" i="1"/>
  <c r="C15" i="1"/>
  <c r="W14" i="1"/>
  <c r="Q14" i="1"/>
  <c r="J14" i="1"/>
  <c r="E14" i="1"/>
  <c r="C14" i="1"/>
  <c r="W13" i="1"/>
  <c r="Q13" i="1"/>
  <c r="E13" i="1"/>
  <c r="C13" i="1"/>
  <c r="W12" i="1"/>
  <c r="Q12" i="1"/>
  <c r="J12" i="1"/>
  <c r="E12" i="1"/>
  <c r="C12" i="1"/>
  <c r="W11" i="1"/>
  <c r="Q11" i="1"/>
  <c r="E11" i="1"/>
  <c r="C11" i="1"/>
  <c r="W10" i="1"/>
  <c r="Q10" i="1"/>
  <c r="K10" i="1"/>
  <c r="L10" i="1" s="1"/>
  <c r="E10" i="1"/>
  <c r="C10" i="1"/>
  <c r="W26" i="1"/>
  <c r="E26" i="1"/>
  <c r="C26" i="1"/>
  <c r="R12" i="1" l="1"/>
  <c r="S12" i="1" s="1"/>
  <c r="T12" i="1" s="1"/>
  <c r="R13" i="1"/>
  <c r="S13" i="1" s="1"/>
  <c r="T13" i="1" s="1"/>
  <c r="R18" i="1"/>
  <c r="S18" i="1" s="1"/>
  <c r="T18" i="1" s="1"/>
  <c r="R14" i="1"/>
  <c r="S14" i="1" s="1"/>
  <c r="T14" i="1" s="1"/>
  <c r="R19" i="1"/>
  <c r="S19" i="1" s="1"/>
  <c r="T19" i="1" s="1"/>
  <c r="X19" i="1" s="1"/>
  <c r="R15" i="1"/>
  <c r="S15" i="1" s="1"/>
  <c r="T15" i="1" s="1"/>
  <c r="X15" i="1" s="1"/>
  <c r="R20" i="1"/>
  <c r="S20" i="1" s="1"/>
  <c r="T20" i="1" s="1"/>
  <c r="R21" i="1"/>
  <c r="S21" i="1" s="1"/>
  <c r="T21" i="1" s="1"/>
  <c r="R25" i="1"/>
  <c r="S25" i="1" s="1"/>
  <c r="T25" i="1" s="1"/>
  <c r="R10" i="1"/>
  <c r="S10" i="1" s="1"/>
  <c r="T10" i="1" s="1"/>
  <c r="R11" i="1"/>
  <c r="S11" i="1" s="1"/>
  <c r="T11" i="1" s="1"/>
  <c r="R16" i="1"/>
  <c r="S16" i="1" s="1"/>
  <c r="T16" i="1" s="1"/>
  <c r="R17" i="1"/>
  <c r="S17" i="1" s="1"/>
  <c r="T17" i="1" s="1"/>
  <c r="R22" i="1"/>
  <c r="S22" i="1" s="1"/>
  <c r="T22" i="1" s="1"/>
  <c r="S26" i="1"/>
  <c r="T26" i="1" s="1"/>
  <c r="S24" i="1"/>
  <c r="T24" i="1" s="1"/>
  <c r="S23" i="1"/>
  <c r="T23" i="1" s="1"/>
  <c r="J22" i="1"/>
  <c r="J18" i="1"/>
  <c r="K14" i="1"/>
  <c r="L14" i="1" s="1"/>
  <c r="J26" i="1"/>
  <c r="K15" i="1"/>
  <c r="L15" i="1" s="1"/>
  <c r="K19" i="1"/>
  <c r="L19" i="1" s="1"/>
  <c r="K23" i="1"/>
  <c r="L23" i="1" s="1"/>
  <c r="K26" i="1"/>
  <c r="L26" i="1" s="1"/>
  <c r="J13" i="1"/>
  <c r="J25" i="1"/>
  <c r="J17" i="1"/>
  <c r="J16" i="1"/>
  <c r="K17" i="1"/>
  <c r="L17" i="1" s="1"/>
  <c r="J20" i="1"/>
  <c r="K21" i="1"/>
  <c r="L21" i="1" s="1"/>
  <c r="J24" i="1"/>
  <c r="K25" i="1"/>
  <c r="L25" i="1" s="1"/>
  <c r="J21" i="1"/>
  <c r="K13" i="1"/>
  <c r="L13" i="1" s="1"/>
  <c r="K12" i="1"/>
  <c r="L12" i="1" s="1"/>
  <c r="K11" i="1"/>
  <c r="L11" i="1" s="1"/>
  <c r="J11" i="1"/>
  <c r="J10" i="1"/>
  <c r="X16" i="1" l="1"/>
  <c r="X22" i="1"/>
  <c r="X21" i="1"/>
  <c r="X26" i="1"/>
  <c r="X13" i="1"/>
  <c r="X25" i="1"/>
  <c r="X10" i="1"/>
  <c r="X23" i="1"/>
  <c r="X12" i="1"/>
  <c r="X18" i="1"/>
  <c r="X11" i="1"/>
  <c r="X20" i="1"/>
  <c r="X14" i="1"/>
  <c r="X17" i="1"/>
  <c r="X24" i="1"/>
  <c r="E9" i="1"/>
  <c r="E27" i="1"/>
  <c r="E28" i="1"/>
  <c r="E29" i="1"/>
  <c r="Q29" i="1"/>
  <c r="R29" i="1" s="1"/>
  <c r="Q28" i="1"/>
  <c r="R28" i="1" s="1"/>
  <c r="Q27" i="1"/>
  <c r="R27" i="1" s="1"/>
  <c r="Q9" i="1"/>
  <c r="R9" i="1" s="1"/>
  <c r="W29" i="1"/>
  <c r="W28" i="1"/>
  <c r="W27" i="1"/>
  <c r="W9" i="1"/>
  <c r="J29" i="1"/>
  <c r="J28" i="1"/>
  <c r="J27" i="1"/>
  <c r="C29" i="1"/>
  <c r="C28" i="1"/>
  <c r="C27" i="1"/>
  <c r="C9" i="1"/>
  <c r="AD105" i="1" l="1"/>
  <c r="AD96" i="1"/>
  <c r="AD113" i="1"/>
  <c r="AD106" i="1"/>
  <c r="AD104" i="1"/>
  <c r="AD109" i="1"/>
  <c r="AD102" i="1"/>
  <c r="AD108" i="1"/>
  <c r="AD97" i="1"/>
  <c r="AD98" i="1"/>
  <c r="AD101" i="1"/>
  <c r="AD110" i="1"/>
  <c r="AD99" i="1"/>
  <c r="AD112" i="1"/>
  <c r="AD115" i="1"/>
  <c r="AD100" i="1"/>
  <c r="AD94" i="1"/>
  <c r="AD95" i="1"/>
  <c r="AD103" i="1"/>
  <c r="AD111" i="1"/>
  <c r="AD114" i="1"/>
  <c r="AD107" i="1"/>
  <c r="AD83" i="1"/>
  <c r="AF83" i="1" s="1"/>
  <c r="AD92" i="1"/>
  <c r="AF92" i="1" s="1"/>
  <c r="AD78" i="1"/>
  <c r="AF78" i="1" s="1"/>
  <c r="AD76" i="1"/>
  <c r="AF76" i="1" s="1"/>
  <c r="AD79" i="1"/>
  <c r="AD82" i="1"/>
  <c r="AF82" i="1" s="1"/>
  <c r="AD88" i="1"/>
  <c r="AF88" i="1" s="1"/>
  <c r="AD90" i="1"/>
  <c r="AF90" i="1" s="1"/>
  <c r="AD86" i="1"/>
  <c r="AF86" i="1" s="1"/>
  <c r="AD81" i="1"/>
  <c r="AF81" i="1" s="1"/>
  <c r="AD89" i="1"/>
  <c r="AF89" i="1" s="1"/>
  <c r="AD80" i="1"/>
  <c r="AF80" i="1" s="1"/>
  <c r="AD87" i="1"/>
  <c r="AF87" i="1" s="1"/>
  <c r="AD91" i="1"/>
  <c r="AF91" i="1" s="1"/>
  <c r="AD77" i="1"/>
  <c r="AF77" i="1" s="1"/>
  <c r="AD85" i="1"/>
  <c r="AD84" i="1"/>
  <c r="AF84" i="1" s="1"/>
  <c r="AD75" i="1"/>
  <c r="AD74" i="1"/>
  <c r="AD63" i="1"/>
  <c r="AF63" i="1" s="1"/>
  <c r="AD10" i="1"/>
  <c r="AD71" i="1"/>
  <c r="AD67" i="1"/>
  <c r="AF67" i="1" s="1"/>
  <c r="AD62" i="1"/>
  <c r="AF62" i="1" s="1"/>
  <c r="AD58" i="1"/>
  <c r="AF58" i="1" s="1"/>
  <c r="AD72" i="1"/>
  <c r="AD68" i="1"/>
  <c r="AD64" i="1"/>
  <c r="AD59" i="1"/>
  <c r="AF59" i="1" s="1"/>
  <c r="AD73" i="1"/>
  <c r="AD69" i="1"/>
  <c r="AF69" i="1" s="1"/>
  <c r="AD65" i="1"/>
  <c r="AF65" i="1" s="1"/>
  <c r="AD60" i="1"/>
  <c r="AF60" i="1" s="1"/>
  <c r="AD56" i="1"/>
  <c r="AD93" i="1"/>
  <c r="AD70" i="1"/>
  <c r="AF70" i="1" s="1"/>
  <c r="AD66" i="1"/>
  <c r="AD61" i="1"/>
  <c r="AF61" i="1" s="1"/>
  <c r="AD57" i="1"/>
  <c r="AF57" i="1" s="1"/>
  <c r="AD50" i="1"/>
  <c r="AF50" i="1" s="1"/>
  <c r="AD52" i="1"/>
  <c r="AF52" i="1" s="1"/>
  <c r="AD54" i="1"/>
  <c r="AF54" i="1" s="1"/>
  <c r="AD51" i="1"/>
  <c r="AD53" i="1"/>
  <c r="AF53" i="1" s="1"/>
  <c r="AD55" i="1"/>
  <c r="AD49" i="1"/>
  <c r="AF49" i="1" s="1"/>
  <c r="AD38" i="1"/>
  <c r="AD32" i="1"/>
  <c r="AD30" i="1"/>
  <c r="AD35" i="1"/>
  <c r="AD36" i="1"/>
  <c r="AD42" i="1"/>
  <c r="AF42" i="1" s="1"/>
  <c r="AD46" i="1"/>
  <c r="AD45" i="1"/>
  <c r="AD43" i="1"/>
  <c r="AF43" i="1" s="1"/>
  <c r="AD44" i="1"/>
  <c r="AF44" i="1" s="1"/>
  <c r="AD39" i="1"/>
  <c r="AD41" i="1"/>
  <c r="AF41" i="1" s="1"/>
  <c r="AD37" i="1"/>
  <c r="AD47" i="1"/>
  <c r="AF47" i="1" s="1"/>
  <c r="AD48" i="1"/>
  <c r="AD31" i="1"/>
  <c r="AD33" i="1"/>
  <c r="AF33" i="1" s="1"/>
  <c r="AD34" i="1"/>
  <c r="AF34" i="1" s="1"/>
  <c r="AD40" i="1"/>
  <c r="AF40" i="1" s="1"/>
  <c r="S9" i="1"/>
  <c r="T9" i="1" s="1"/>
  <c r="S29" i="1"/>
  <c r="T29" i="1" s="1"/>
  <c r="S28" i="1"/>
  <c r="T28" i="1" s="1"/>
  <c r="S27" i="1"/>
  <c r="T27" i="1" s="1"/>
  <c r="AD21" i="1"/>
  <c r="AD24" i="1"/>
  <c r="AD22" i="1"/>
  <c r="AD23" i="1"/>
  <c r="AD11" i="1"/>
  <c r="AD17" i="1"/>
  <c r="AD16" i="1"/>
  <c r="AD15" i="1"/>
  <c r="AD18" i="1"/>
  <c r="AD25" i="1"/>
  <c r="AD14" i="1"/>
  <c r="AD12" i="1"/>
  <c r="AD20" i="1"/>
  <c r="AD13" i="1"/>
  <c r="AD19" i="1"/>
  <c r="AD9" i="1"/>
  <c r="AD26" i="1"/>
  <c r="AD29" i="1"/>
  <c r="AD27" i="1"/>
  <c r="K29" i="1"/>
  <c r="L29" i="1" s="1"/>
  <c r="AD28" i="1"/>
  <c r="J9" i="1"/>
  <c r="K9" i="1"/>
  <c r="L9" i="1" s="1"/>
  <c r="K27" i="1"/>
  <c r="L27" i="1" s="1"/>
  <c r="K28" i="1"/>
  <c r="L28" i="1" s="1"/>
  <c r="A1" i="1"/>
  <c r="D4" i="2"/>
  <c r="D7" i="2"/>
  <c r="D6" i="2"/>
  <c r="D5" i="2"/>
  <c r="D25" i="2"/>
  <c r="D24" i="2"/>
  <c r="D23" i="2"/>
  <c r="D22" i="2"/>
  <c r="D26" i="2"/>
  <c r="D28" i="2"/>
  <c r="U101" i="1" l="1"/>
  <c r="U115" i="1"/>
  <c r="U103" i="1"/>
  <c r="U94" i="1"/>
  <c r="U111" i="1"/>
  <c r="U104" i="1"/>
  <c r="U100" i="1"/>
  <c r="U112" i="1"/>
  <c r="U97" i="1"/>
  <c r="U113" i="1"/>
  <c r="U108" i="1"/>
  <c r="U109" i="1"/>
  <c r="U107" i="1"/>
  <c r="U102" i="1"/>
  <c r="U114" i="1"/>
  <c r="U106" i="1"/>
  <c r="U105" i="1"/>
  <c r="U96" i="1"/>
  <c r="U99" i="1"/>
  <c r="U110" i="1"/>
  <c r="U95" i="1"/>
  <c r="U98" i="1"/>
  <c r="U83" i="1"/>
  <c r="U92" i="1"/>
  <c r="U74" i="1"/>
  <c r="U77" i="1"/>
  <c r="U89" i="1"/>
  <c r="U85" i="1"/>
  <c r="U81" i="1"/>
  <c r="U78" i="1"/>
  <c r="U76" i="1"/>
  <c r="U80" i="1"/>
  <c r="U84" i="1"/>
  <c r="U82" i="1"/>
  <c r="U86" i="1"/>
  <c r="U87" i="1"/>
  <c r="U75" i="1"/>
  <c r="U91" i="1"/>
  <c r="U88" i="1"/>
  <c r="U79" i="1"/>
  <c r="U90" i="1"/>
  <c r="U63" i="1"/>
  <c r="U30" i="1"/>
  <c r="U58" i="1"/>
  <c r="U73" i="1"/>
  <c r="U56" i="1"/>
  <c r="U72" i="1"/>
  <c r="U66" i="1"/>
  <c r="U59" i="1"/>
  <c r="U71" i="1"/>
  <c r="U69" i="1"/>
  <c r="U49" i="1"/>
  <c r="U61" i="1"/>
  <c r="U67" i="1"/>
  <c r="U65" i="1"/>
  <c r="U57" i="1"/>
  <c r="U93" i="1"/>
  <c r="U68" i="1"/>
  <c r="U50" i="1"/>
  <c r="U62" i="1"/>
  <c r="U60" i="1"/>
  <c r="U70" i="1"/>
  <c r="U64" i="1"/>
  <c r="U52" i="1"/>
  <c r="U55" i="1"/>
  <c r="U51" i="1"/>
  <c r="U54" i="1"/>
  <c r="U53" i="1"/>
  <c r="U32" i="1"/>
  <c r="U38" i="1"/>
  <c r="X28" i="1"/>
  <c r="U28" i="1"/>
  <c r="X29" i="1"/>
  <c r="U29" i="1"/>
  <c r="U47" i="1"/>
  <c r="X9" i="1"/>
  <c r="U9" i="1"/>
  <c r="U40" i="1"/>
  <c r="U44" i="1"/>
  <c r="U48" i="1"/>
  <c r="U45" i="1"/>
  <c r="U39" i="1"/>
  <c r="U35" i="1"/>
  <c r="U36" i="1"/>
  <c r="U37" i="1"/>
  <c r="U41" i="1"/>
  <c r="U31" i="1"/>
  <c r="U33" i="1"/>
  <c r="U34" i="1"/>
  <c r="U12" i="1"/>
  <c r="U11" i="1"/>
  <c r="U14" i="1"/>
  <c r="U24" i="1"/>
  <c r="U18" i="1"/>
  <c r="U26" i="1"/>
  <c r="U10" i="1"/>
  <c r="U16" i="1"/>
  <c r="U21" i="1"/>
  <c r="U25" i="1"/>
  <c r="U23" i="1"/>
  <c r="U19" i="1"/>
  <c r="U13" i="1"/>
  <c r="U15" i="1"/>
  <c r="U20" i="1"/>
  <c r="U17" i="1"/>
  <c r="U22" i="1"/>
  <c r="U43" i="1"/>
  <c r="U42" i="1"/>
  <c r="U27" i="1"/>
  <c r="U46" i="1"/>
  <c r="X27" i="1"/>
  <c r="V98" i="1" l="1"/>
  <c r="V95" i="1"/>
  <c r="V110" i="1"/>
  <c r="V106" i="1"/>
  <c r="V109" i="1"/>
  <c r="V112" i="1"/>
  <c r="V94" i="1"/>
  <c r="V99" i="1"/>
  <c r="V114" i="1"/>
  <c r="V108" i="1"/>
  <c r="V100" i="1"/>
  <c r="V103" i="1"/>
  <c r="Z109" i="1"/>
  <c r="Z111" i="1"/>
  <c r="Z115" i="1"/>
  <c r="Z113" i="1"/>
  <c r="Z97" i="1"/>
  <c r="Z94" i="1"/>
  <c r="Z104" i="1"/>
  <c r="Z107" i="1"/>
  <c r="Z108" i="1"/>
  <c r="Z112" i="1"/>
  <c r="Z103" i="1"/>
  <c r="Z100" i="1"/>
  <c r="Z101" i="1"/>
  <c r="Z102" i="1"/>
  <c r="Z99" i="1"/>
  <c r="Z114" i="1"/>
  <c r="Z96" i="1"/>
  <c r="Z98" i="1"/>
  <c r="Z105" i="1"/>
  <c r="Z95" i="1"/>
  <c r="Z110" i="1"/>
  <c r="Z106" i="1"/>
  <c r="V96" i="1"/>
  <c r="V102" i="1"/>
  <c r="V113" i="1"/>
  <c r="V104" i="1"/>
  <c r="V115" i="1"/>
  <c r="V105" i="1"/>
  <c r="V107" i="1"/>
  <c r="V97" i="1"/>
  <c r="V111" i="1"/>
  <c r="V101" i="1"/>
  <c r="V83" i="1"/>
  <c r="Z83" i="1"/>
  <c r="Z92" i="1"/>
  <c r="V92" i="1"/>
  <c r="V88" i="1"/>
  <c r="V87" i="1"/>
  <c r="V80" i="1"/>
  <c r="V85" i="1"/>
  <c r="Z89" i="1"/>
  <c r="Z81" i="1"/>
  <c r="Z78" i="1"/>
  <c r="Z85" i="1"/>
  <c r="Z77" i="1"/>
  <c r="Z88" i="1"/>
  <c r="Z87" i="1"/>
  <c r="Z80" i="1"/>
  <c r="Z91" i="1"/>
  <c r="Z86" i="1"/>
  <c r="Z76" i="1"/>
  <c r="Z79" i="1"/>
  <c r="Z82" i="1"/>
  <c r="Z90" i="1"/>
  <c r="Z84" i="1"/>
  <c r="Z75" i="1"/>
  <c r="V90" i="1"/>
  <c r="V91" i="1"/>
  <c r="V86" i="1"/>
  <c r="V76" i="1"/>
  <c r="V89" i="1"/>
  <c r="V79" i="1"/>
  <c r="V75" i="1"/>
  <c r="V82" i="1"/>
  <c r="V78" i="1"/>
  <c r="V77" i="1"/>
  <c r="V84" i="1"/>
  <c r="V81" i="1"/>
  <c r="V74" i="1"/>
  <c r="Z74" i="1"/>
  <c r="Z63" i="1"/>
  <c r="V63" i="1"/>
  <c r="Z57" i="1"/>
  <c r="Z71" i="1"/>
  <c r="Z56" i="1"/>
  <c r="Z70" i="1"/>
  <c r="Z50" i="1"/>
  <c r="Z61" i="1"/>
  <c r="Z59" i="1"/>
  <c r="Z73" i="1"/>
  <c r="Z68" i="1"/>
  <c r="Z65" i="1"/>
  <c r="Z49" i="1"/>
  <c r="Z66" i="1"/>
  <c r="Z58" i="1"/>
  <c r="Z60" i="1"/>
  <c r="Z93" i="1"/>
  <c r="Z67" i="1"/>
  <c r="Z69" i="1"/>
  <c r="Z72" i="1"/>
  <c r="Z64" i="1"/>
  <c r="Z62" i="1"/>
  <c r="Z54" i="1"/>
  <c r="Z55" i="1"/>
  <c r="Z51" i="1"/>
  <c r="Z52" i="1"/>
  <c r="Z53" i="1"/>
  <c r="Z38" i="1"/>
  <c r="Z32" i="1"/>
  <c r="V53" i="1"/>
  <c r="V52" i="1"/>
  <c r="V60" i="1"/>
  <c r="V93" i="1"/>
  <c r="V67" i="1"/>
  <c r="V69" i="1"/>
  <c r="V72" i="1"/>
  <c r="V54" i="1"/>
  <c r="V64" i="1"/>
  <c r="V62" i="1"/>
  <c r="V57" i="1"/>
  <c r="V71" i="1"/>
  <c r="V56" i="1"/>
  <c r="V51" i="1"/>
  <c r="V70" i="1"/>
  <c r="V50" i="1"/>
  <c r="V61" i="1"/>
  <c r="V59" i="1"/>
  <c r="V73" i="1"/>
  <c r="V55" i="1"/>
  <c r="V68" i="1"/>
  <c r="V65" i="1"/>
  <c r="V49" i="1"/>
  <c r="V66" i="1"/>
  <c r="V58" i="1"/>
  <c r="V38" i="1"/>
  <c r="V32" i="1"/>
  <c r="V30" i="1"/>
  <c r="V27" i="1"/>
  <c r="Z30" i="1"/>
  <c r="Z27" i="1"/>
  <c r="V46" i="1"/>
  <c r="V22" i="1"/>
  <c r="V41" i="1"/>
  <c r="V39" i="1"/>
  <c r="V29" i="1"/>
  <c r="V13" i="1"/>
  <c r="V21" i="1"/>
  <c r="V12" i="1"/>
  <c r="V40" i="1"/>
  <c r="V17" i="1"/>
  <c r="V19" i="1"/>
  <c r="V16" i="1"/>
  <c r="V24" i="1"/>
  <c r="V34" i="1"/>
  <c r="V37" i="1"/>
  <c r="V45" i="1"/>
  <c r="V9" i="1"/>
  <c r="Z29" i="1"/>
  <c r="V42" i="1"/>
  <c r="V20" i="1"/>
  <c r="V23" i="1"/>
  <c r="V10" i="1"/>
  <c r="V14" i="1"/>
  <c r="V33" i="1"/>
  <c r="V36" i="1"/>
  <c r="V48" i="1"/>
  <c r="V28" i="1"/>
  <c r="V18" i="1"/>
  <c r="V43" i="1"/>
  <c r="V15" i="1"/>
  <c r="V25" i="1"/>
  <c r="V26" i="1"/>
  <c r="V11" i="1"/>
  <c r="V31" i="1"/>
  <c r="V35" i="1"/>
  <c r="V44" i="1"/>
  <c r="V47" i="1"/>
  <c r="Z48" i="1"/>
  <c r="Z42" i="1"/>
  <c r="Z43" i="1"/>
  <c r="Z44" i="1"/>
  <c r="Z46" i="1"/>
  <c r="Z9" i="1"/>
  <c r="Z35" i="1"/>
  <c r="Z45" i="1"/>
  <c r="Z47" i="1"/>
  <c r="Z40" i="1"/>
  <c r="Z39" i="1"/>
  <c r="Z41" i="1"/>
  <c r="Z36" i="1"/>
  <c r="Z37" i="1"/>
  <c r="Z31" i="1"/>
  <c r="Z34" i="1"/>
  <c r="Z33" i="1"/>
  <c r="Z19" i="1"/>
  <c r="Z15" i="1"/>
  <c r="Z14" i="1"/>
  <c r="Z17" i="1"/>
  <c r="Z24" i="1"/>
  <c r="Z26" i="1"/>
  <c r="Z16" i="1"/>
  <c r="Z18" i="1"/>
  <c r="Z25" i="1"/>
  <c r="Z21" i="1"/>
  <c r="Z12" i="1"/>
  <c r="Z20" i="1"/>
  <c r="Z11" i="1"/>
  <c r="Z23" i="1"/>
  <c r="Z22" i="1"/>
  <c r="Z13" i="1"/>
  <c r="Z10" i="1"/>
  <c r="Z28" i="1"/>
  <c r="AG106" i="1" l="1"/>
  <c r="AB106" i="1"/>
  <c r="AC106" i="1" s="1"/>
  <c r="AG98" i="1"/>
  <c r="AB98" i="1"/>
  <c r="AC98" i="1" s="1"/>
  <c r="AG102" i="1"/>
  <c r="AB102" i="1"/>
  <c r="AC102" i="1" s="1"/>
  <c r="AG112" i="1"/>
  <c r="AB112" i="1"/>
  <c r="AC112" i="1" s="1"/>
  <c r="AG94" i="1"/>
  <c r="AB94" i="1"/>
  <c r="AC94" i="1" s="1"/>
  <c r="AG111" i="1"/>
  <c r="AB111" i="1"/>
  <c r="AC111" i="1" s="1"/>
  <c r="AG110" i="1"/>
  <c r="AB110" i="1"/>
  <c r="AC110" i="1" s="1"/>
  <c r="AG96" i="1"/>
  <c r="AB96" i="1"/>
  <c r="AC96" i="1" s="1"/>
  <c r="AG101" i="1"/>
  <c r="AB101" i="1"/>
  <c r="AC101" i="1" s="1"/>
  <c r="AG108" i="1"/>
  <c r="AB108" i="1"/>
  <c r="AC108" i="1" s="1"/>
  <c r="AG97" i="1"/>
  <c r="AB97" i="1"/>
  <c r="AC97" i="1" s="1"/>
  <c r="AG109" i="1"/>
  <c r="AB109" i="1"/>
  <c r="AC109" i="1" s="1"/>
  <c r="AG95" i="1"/>
  <c r="AB95" i="1"/>
  <c r="AC95" i="1" s="1"/>
  <c r="AG114" i="1"/>
  <c r="AB114" i="1"/>
  <c r="AC114" i="1" s="1"/>
  <c r="AG100" i="1"/>
  <c r="AB100" i="1"/>
  <c r="AC100" i="1" s="1"/>
  <c r="AG107" i="1"/>
  <c r="AB107" i="1"/>
  <c r="AC107" i="1" s="1"/>
  <c r="AG113" i="1"/>
  <c r="AB113" i="1"/>
  <c r="AC113" i="1" s="1"/>
  <c r="AG105" i="1"/>
  <c r="AB105" i="1"/>
  <c r="AC105" i="1" s="1"/>
  <c r="AG99" i="1"/>
  <c r="AB99" i="1"/>
  <c r="AC99" i="1" s="1"/>
  <c r="AG103" i="1"/>
  <c r="AB103" i="1"/>
  <c r="AC103" i="1" s="1"/>
  <c r="AG104" i="1"/>
  <c r="AB104" i="1"/>
  <c r="AC104" i="1" s="1"/>
  <c r="AG115" i="1"/>
  <c r="AB115" i="1"/>
  <c r="AC115" i="1" s="1"/>
  <c r="AG90" i="1"/>
  <c r="AG83" i="1"/>
  <c r="AB83" i="1"/>
  <c r="AC83" i="1" s="1"/>
  <c r="AI83" i="1" s="1"/>
  <c r="AB28" i="1"/>
  <c r="AB21" i="1"/>
  <c r="AB15" i="1"/>
  <c r="AB39" i="1"/>
  <c r="AC39" i="1" s="1"/>
  <c r="AB43" i="1"/>
  <c r="AC43" i="1" s="1"/>
  <c r="AI43" i="1" s="1"/>
  <c r="AB19" i="1"/>
  <c r="AB37" i="1"/>
  <c r="AC37" i="1" s="1"/>
  <c r="AB40" i="1"/>
  <c r="AC40" i="1" s="1"/>
  <c r="AI40" i="1" s="1"/>
  <c r="AB9" i="1"/>
  <c r="AB42" i="1"/>
  <c r="AC42" i="1" s="1"/>
  <c r="AI42" i="1" s="1"/>
  <c r="AB30" i="1"/>
  <c r="AC30" i="1" s="1"/>
  <c r="AB53" i="1"/>
  <c r="AC53" i="1" s="1"/>
  <c r="AI53" i="1" s="1"/>
  <c r="AB54" i="1"/>
  <c r="AC54" i="1" s="1"/>
  <c r="AI54" i="1" s="1"/>
  <c r="AB69" i="1"/>
  <c r="AC69" i="1" s="1"/>
  <c r="AI69" i="1" s="1"/>
  <c r="AB58" i="1"/>
  <c r="AC58" i="1" s="1"/>
  <c r="AI58" i="1" s="1"/>
  <c r="AB68" i="1"/>
  <c r="AC68" i="1" s="1"/>
  <c r="AB50" i="1"/>
  <c r="AC50" i="1" s="1"/>
  <c r="AI50" i="1" s="1"/>
  <c r="AB57" i="1"/>
  <c r="AC57" i="1" s="1"/>
  <c r="AI57" i="1" s="1"/>
  <c r="AB82" i="1"/>
  <c r="AC82" i="1" s="1"/>
  <c r="AI82" i="1" s="1"/>
  <c r="AB91" i="1"/>
  <c r="AC91" i="1" s="1"/>
  <c r="AI91" i="1" s="1"/>
  <c r="AB77" i="1"/>
  <c r="AC77" i="1" s="1"/>
  <c r="AI77" i="1" s="1"/>
  <c r="AB89" i="1"/>
  <c r="AC89" i="1" s="1"/>
  <c r="AI89" i="1" s="1"/>
  <c r="AB55" i="1"/>
  <c r="AC55" i="1" s="1"/>
  <c r="AB72" i="1"/>
  <c r="AC72" i="1" s="1"/>
  <c r="AB61" i="1"/>
  <c r="AC61" i="1" s="1"/>
  <c r="AI61" i="1" s="1"/>
  <c r="AB74" i="1"/>
  <c r="AC74" i="1" s="1"/>
  <c r="AB90" i="1"/>
  <c r="AC90" i="1" s="1"/>
  <c r="AI90" i="1" s="1"/>
  <c r="AB88" i="1"/>
  <c r="AC88" i="1" s="1"/>
  <c r="AI88" i="1" s="1"/>
  <c r="AB10" i="1"/>
  <c r="AB25" i="1"/>
  <c r="AB13" i="1"/>
  <c r="AB18" i="1"/>
  <c r="AB33" i="1"/>
  <c r="AC33" i="1" s="1"/>
  <c r="AB52" i="1"/>
  <c r="AC52" i="1" s="1"/>
  <c r="AI52" i="1" s="1"/>
  <c r="AB62" i="1"/>
  <c r="AC62" i="1" s="1"/>
  <c r="AI62" i="1" s="1"/>
  <c r="AB67" i="1"/>
  <c r="AC67" i="1" s="1"/>
  <c r="AI67" i="1" s="1"/>
  <c r="AB66" i="1"/>
  <c r="AC66" i="1" s="1"/>
  <c r="AB73" i="1"/>
  <c r="AC73" i="1" s="1"/>
  <c r="AB70" i="1"/>
  <c r="AC70" i="1" s="1"/>
  <c r="AI70" i="1" s="1"/>
  <c r="AB75" i="1"/>
  <c r="AC75" i="1" s="1"/>
  <c r="AB79" i="1"/>
  <c r="AC79" i="1" s="1"/>
  <c r="AB80" i="1"/>
  <c r="AC80" i="1" s="1"/>
  <c r="AI80" i="1" s="1"/>
  <c r="AB85" i="1"/>
  <c r="AC85" i="1" s="1"/>
  <c r="AB23" i="1"/>
  <c r="AB26" i="1"/>
  <c r="AB31" i="1"/>
  <c r="AC31" i="1" s="1"/>
  <c r="AB35" i="1"/>
  <c r="AC35" i="1" s="1"/>
  <c r="AB27" i="1"/>
  <c r="AB38" i="1"/>
  <c r="AC38" i="1" s="1"/>
  <c r="AB60" i="1"/>
  <c r="AC60" i="1" s="1"/>
  <c r="AI60" i="1" s="1"/>
  <c r="AB65" i="1"/>
  <c r="AC65" i="1" s="1"/>
  <c r="AI65" i="1" s="1"/>
  <c r="AB71" i="1"/>
  <c r="AC71" i="1" s="1"/>
  <c r="AB86" i="1"/>
  <c r="AC86" i="1" s="1"/>
  <c r="AI86" i="1" s="1"/>
  <c r="AB81" i="1"/>
  <c r="AC81" i="1" s="1"/>
  <c r="AI81" i="1" s="1"/>
  <c r="AB11" i="1"/>
  <c r="AB24" i="1"/>
  <c r="AB20" i="1"/>
  <c r="AB17" i="1"/>
  <c r="AB36" i="1"/>
  <c r="AC36" i="1" s="1"/>
  <c r="AB47" i="1"/>
  <c r="AC47" i="1" s="1"/>
  <c r="AI47" i="1" s="1"/>
  <c r="AB46" i="1"/>
  <c r="AC46" i="1" s="1"/>
  <c r="AB48" i="1"/>
  <c r="AC48" i="1" s="1"/>
  <c r="AB29" i="1"/>
  <c r="AB22" i="1"/>
  <c r="AB12" i="1"/>
  <c r="AB16" i="1"/>
  <c r="AB14" i="1"/>
  <c r="AB34" i="1"/>
  <c r="AC34" i="1" s="1"/>
  <c r="AI34" i="1" s="1"/>
  <c r="AB41" i="1"/>
  <c r="AC41" i="1" s="1"/>
  <c r="AI41" i="1" s="1"/>
  <c r="AB45" i="1"/>
  <c r="AC45" i="1" s="1"/>
  <c r="AB44" i="1"/>
  <c r="AC44" i="1" s="1"/>
  <c r="AI44" i="1" s="1"/>
  <c r="AB32" i="1"/>
  <c r="AC32" i="1" s="1"/>
  <c r="AB51" i="1"/>
  <c r="AC51" i="1" s="1"/>
  <c r="AB64" i="1"/>
  <c r="AC64" i="1" s="1"/>
  <c r="AB93" i="1"/>
  <c r="AC93" i="1" s="1"/>
  <c r="AB49" i="1"/>
  <c r="AC49" i="1" s="1"/>
  <c r="AI49" i="1" s="1"/>
  <c r="AB59" i="1"/>
  <c r="AC59" i="1" s="1"/>
  <c r="AI59" i="1" s="1"/>
  <c r="AB56" i="1"/>
  <c r="AC56" i="1" s="1"/>
  <c r="AB63" i="1"/>
  <c r="AC63" i="1" s="1"/>
  <c r="AI63" i="1" s="1"/>
  <c r="AB84" i="1"/>
  <c r="AC84" i="1" s="1"/>
  <c r="AI84" i="1" s="1"/>
  <c r="AB76" i="1"/>
  <c r="AC76" i="1" s="1"/>
  <c r="AI76" i="1" s="1"/>
  <c r="AB87" i="1"/>
  <c r="AC87" i="1" s="1"/>
  <c r="AI87" i="1" s="1"/>
  <c r="AB78" i="1"/>
  <c r="AC78" i="1" s="1"/>
  <c r="AI78" i="1" s="1"/>
  <c r="AB92" i="1"/>
  <c r="AC92" i="1" s="1"/>
  <c r="AI92" i="1" s="1"/>
  <c r="AG92" i="1"/>
  <c r="AG89" i="1"/>
  <c r="AG88" i="1"/>
  <c r="AG87" i="1"/>
  <c r="AG84" i="1"/>
  <c r="AG91" i="1"/>
  <c r="AG86" i="1"/>
  <c r="AG85" i="1"/>
  <c r="AG76" i="1"/>
  <c r="AG80" i="1"/>
  <c r="AG78" i="1"/>
  <c r="AG82" i="1"/>
  <c r="AG81" i="1"/>
  <c r="AG79" i="1"/>
  <c r="AG77" i="1"/>
  <c r="AG75" i="1"/>
  <c r="AG74" i="1"/>
  <c r="AG72" i="1"/>
  <c r="AG93" i="1"/>
  <c r="AG73" i="1"/>
  <c r="AG71" i="1"/>
  <c r="AG70" i="1"/>
  <c r="AG69" i="1"/>
  <c r="AG68" i="1"/>
  <c r="AG67" i="1"/>
  <c r="AG66" i="1"/>
  <c r="AG65" i="1"/>
  <c r="AG64" i="1"/>
  <c r="AG28" i="1"/>
  <c r="AG33" i="1"/>
  <c r="AG47" i="1"/>
  <c r="AG31" i="1"/>
  <c r="AG10" i="1"/>
  <c r="AG53" i="1"/>
  <c r="AG22" i="1"/>
  <c r="AG34" i="1"/>
  <c r="AG45" i="1"/>
  <c r="AG51" i="1"/>
  <c r="AG23" i="1"/>
  <c r="AG21" i="1"/>
  <c r="AG26" i="1"/>
  <c r="AG15" i="1"/>
  <c r="AG39" i="1"/>
  <c r="AG35" i="1"/>
  <c r="AG43" i="1"/>
  <c r="AG27" i="1"/>
  <c r="AG38" i="1"/>
  <c r="AG55" i="1"/>
  <c r="AG60" i="1"/>
  <c r="AG61" i="1"/>
  <c r="AG11" i="1"/>
  <c r="AG25" i="1"/>
  <c r="AG24" i="1"/>
  <c r="AG19" i="1"/>
  <c r="AG37" i="1"/>
  <c r="AG40" i="1"/>
  <c r="AG9" i="1"/>
  <c r="AG42" i="1"/>
  <c r="AG30" i="1"/>
  <c r="AG54" i="1"/>
  <c r="AG58" i="1"/>
  <c r="AG50" i="1"/>
  <c r="AG57" i="1"/>
  <c r="AG13" i="1"/>
  <c r="AG20" i="1"/>
  <c r="AG18" i="1"/>
  <c r="AG17" i="1"/>
  <c r="AG36" i="1"/>
  <c r="AG46" i="1"/>
  <c r="AG48" i="1"/>
  <c r="AG29" i="1"/>
  <c r="AG52" i="1"/>
  <c r="AG62" i="1"/>
  <c r="AG12" i="1"/>
  <c r="AG16" i="1"/>
  <c r="AG14" i="1"/>
  <c r="AG41" i="1"/>
  <c r="AG44" i="1"/>
  <c r="AG32" i="1"/>
  <c r="AG49" i="1"/>
  <c r="AG59" i="1"/>
  <c r="AG56" i="1"/>
  <c r="AG63" i="1"/>
  <c r="C10" i="2"/>
  <c r="C19" i="2"/>
  <c r="C18" i="2"/>
  <c r="C17" i="2"/>
  <c r="C16" i="2"/>
  <c r="C15" i="2"/>
  <c r="C14" i="2"/>
  <c r="C13" i="2"/>
  <c r="C12" i="2"/>
  <c r="C11" i="2"/>
  <c r="D21" i="2"/>
  <c r="D20" i="2"/>
  <c r="D19" i="2"/>
  <c r="D18" i="2"/>
  <c r="D17" i="2"/>
  <c r="D16" i="2"/>
  <c r="D15" i="2"/>
  <c r="D14" i="2"/>
  <c r="D13" i="2"/>
  <c r="D12" i="2"/>
  <c r="D9" i="2"/>
  <c r="D8" i="2"/>
  <c r="D10" i="2"/>
  <c r="D11" i="2"/>
  <c r="C29" i="2"/>
  <c r="C28" i="2"/>
  <c r="C36" i="2"/>
  <c r="C35" i="2"/>
  <c r="C34" i="2"/>
  <c r="C33" i="2"/>
  <c r="C32" i="2"/>
  <c r="C31" i="2"/>
  <c r="C30" i="2"/>
  <c r="C37" i="2"/>
  <c r="D27" i="2"/>
  <c r="F8" i="2"/>
  <c r="G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0" i="2"/>
  <c r="AI115" i="1" l="1"/>
  <c r="AF115" i="1"/>
  <c r="AI114" i="1"/>
  <c r="AF114" i="1"/>
  <c r="AI113" i="1"/>
  <c r="AF113" i="1"/>
  <c r="AI112" i="1"/>
  <c r="AF112" i="1"/>
  <c r="AI111" i="1"/>
  <c r="AF111" i="1"/>
  <c r="AI110" i="1"/>
  <c r="AF110" i="1"/>
  <c r="AI109" i="1"/>
  <c r="AF109" i="1"/>
  <c r="AI108" i="1"/>
  <c r="AF108" i="1"/>
  <c r="AI107" i="1"/>
  <c r="AF107" i="1"/>
  <c r="AI106" i="1"/>
  <c r="AF106" i="1"/>
  <c r="AI105" i="1"/>
  <c r="AF105" i="1"/>
  <c r="AI104" i="1"/>
  <c r="AF104" i="1"/>
  <c r="AI103" i="1"/>
  <c r="AF103" i="1"/>
  <c r="AI102" i="1"/>
  <c r="AF102" i="1"/>
  <c r="AI101" i="1"/>
  <c r="AF101" i="1"/>
  <c r="AI100" i="1"/>
  <c r="AF100" i="1"/>
  <c r="AI99" i="1"/>
  <c r="AF99" i="1"/>
  <c r="AI98" i="1"/>
  <c r="AF98" i="1"/>
  <c r="AI97" i="1"/>
  <c r="AF97" i="1"/>
  <c r="AI96" i="1"/>
  <c r="AF96" i="1"/>
  <c r="AI95" i="1"/>
  <c r="AF95" i="1"/>
  <c r="AI94" i="1"/>
  <c r="AE99" i="1"/>
  <c r="AE106" i="1"/>
  <c r="AE113" i="1"/>
  <c r="AE101" i="1"/>
  <c r="AE104" i="1"/>
  <c r="AE110" i="1"/>
  <c r="AE114" i="1"/>
  <c r="AE95" i="1"/>
  <c r="AE94" i="1"/>
  <c r="AE97" i="1"/>
  <c r="AE115" i="1"/>
  <c r="AE109" i="1"/>
  <c r="AE112" i="1"/>
  <c r="AF94" i="1"/>
  <c r="AI85" i="1"/>
  <c r="AF85" i="1"/>
  <c r="AI79" i="1"/>
  <c r="AF79" i="1"/>
  <c r="AI75" i="1"/>
  <c r="AE91" i="1"/>
  <c r="AE90" i="1"/>
  <c r="AE78" i="1"/>
  <c r="AE80" i="1"/>
  <c r="AE75" i="1"/>
  <c r="AE85" i="1"/>
  <c r="AE89" i="1"/>
  <c r="AE87" i="1"/>
  <c r="AE81" i="1"/>
  <c r="AF75" i="1"/>
  <c r="AI74" i="1"/>
  <c r="AE74" i="1"/>
  <c r="AF74" i="1"/>
  <c r="AI93" i="1"/>
  <c r="AF93" i="1"/>
  <c r="AI73" i="1"/>
  <c r="AF73" i="1"/>
  <c r="AI72" i="1"/>
  <c r="AF72" i="1"/>
  <c r="AI71" i="1"/>
  <c r="AF71" i="1"/>
  <c r="AI68" i="1"/>
  <c r="AF68" i="1"/>
  <c r="AI66" i="1"/>
  <c r="AF66" i="1"/>
  <c r="AE46" i="1"/>
  <c r="AF46" i="1"/>
  <c r="AE38" i="1"/>
  <c r="AE63" i="1"/>
  <c r="AE62" i="1"/>
  <c r="AF38" i="1"/>
  <c r="AE54" i="1"/>
  <c r="AE31" i="1"/>
  <c r="AF31" i="1"/>
  <c r="AE35" i="1"/>
  <c r="AF35" i="1"/>
  <c r="AE37" i="1"/>
  <c r="AF37" i="1"/>
  <c r="AI55" i="1"/>
  <c r="AE55" i="1"/>
  <c r="AF55" i="1"/>
  <c r="AI56" i="1"/>
  <c r="AE56" i="1"/>
  <c r="AF56" i="1"/>
  <c r="AI51" i="1"/>
  <c r="AE51" i="1"/>
  <c r="AF51" i="1"/>
  <c r="AE45" i="1"/>
  <c r="AF45" i="1"/>
  <c r="AI48" i="1"/>
  <c r="AE48" i="1"/>
  <c r="AF48" i="1"/>
  <c r="AE36" i="1"/>
  <c r="AF36" i="1"/>
  <c r="AE43" i="1"/>
  <c r="AE30" i="1"/>
  <c r="AF30" i="1"/>
  <c r="AE39" i="1"/>
  <c r="AE57" i="1"/>
  <c r="AF39" i="1"/>
  <c r="AE32" i="1"/>
  <c r="AF32" i="1"/>
  <c r="AI64" i="1"/>
  <c r="AE73" i="1"/>
  <c r="AE68" i="1"/>
  <c r="AE71" i="1"/>
  <c r="AE72" i="1"/>
  <c r="AE66" i="1"/>
  <c r="AE67" i="1"/>
  <c r="AF64" i="1"/>
  <c r="AI38" i="1"/>
  <c r="AI32" i="1"/>
  <c r="AI36" i="1"/>
  <c r="AI39" i="1"/>
  <c r="AI45" i="1"/>
  <c r="AI46" i="1"/>
  <c r="AI31" i="1"/>
  <c r="AI35" i="1"/>
  <c r="AI37" i="1"/>
  <c r="AI33" i="1"/>
  <c r="AI30" i="1"/>
  <c r="G37" i="2"/>
  <c r="G36" i="2"/>
  <c r="G35" i="2"/>
  <c r="G34" i="2"/>
  <c r="G33" i="2"/>
  <c r="G32" i="2"/>
  <c r="G31" i="2"/>
  <c r="G30" i="2"/>
  <c r="G29" i="2"/>
  <c r="G28" i="2"/>
  <c r="K29" i="2"/>
  <c r="G11" i="2"/>
  <c r="G10" i="2"/>
  <c r="K11" i="2"/>
  <c r="G12" i="2"/>
  <c r="G13" i="2"/>
  <c r="G14" i="2"/>
  <c r="G15" i="2"/>
  <c r="G16" i="2"/>
  <c r="G17" i="2"/>
  <c r="G18" i="2"/>
  <c r="G19" i="2"/>
  <c r="B15" i="2" l="1"/>
  <c r="B14" i="2"/>
  <c r="D39" i="2"/>
  <c r="B33" i="2"/>
  <c r="B16" i="2"/>
  <c r="K5" i="2"/>
  <c r="K6" i="2"/>
  <c r="K7" i="2"/>
  <c r="K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0" i="2"/>
  <c r="K31" i="2"/>
  <c r="K32" i="2"/>
  <c r="K33" i="2"/>
  <c r="K34" i="2"/>
  <c r="K35" i="2"/>
  <c r="K36" i="2"/>
  <c r="K37" i="2"/>
  <c r="K38" i="2"/>
  <c r="K4" i="2"/>
  <c r="D31" i="2" l="1"/>
  <c r="D35" i="2"/>
  <c r="D32" i="2"/>
  <c r="D30" i="2"/>
  <c r="D36" i="2"/>
  <c r="D29" i="2"/>
  <c r="D33" i="2"/>
  <c r="D37" i="2"/>
  <c r="D34" i="2"/>
  <c r="D38" i="2"/>
  <c r="AC17" i="1" l="1"/>
  <c r="AE102" i="1" s="1"/>
  <c r="AC18" i="1"/>
  <c r="AE105" i="1" s="1"/>
  <c r="AC13" i="1"/>
  <c r="AC22" i="1"/>
  <c r="AC25" i="1"/>
  <c r="AC21" i="1"/>
  <c r="AC14" i="1"/>
  <c r="AE98" i="1" s="1"/>
  <c r="AC23" i="1"/>
  <c r="AC15" i="1"/>
  <c r="AC19" i="1"/>
  <c r="AE100" i="1" s="1"/>
  <c r="AC20" i="1"/>
  <c r="AC24" i="1"/>
  <c r="AE86" i="1" s="1"/>
  <c r="AC16" i="1"/>
  <c r="AE103" i="1" s="1"/>
  <c r="AC12" i="1"/>
  <c r="AC11" i="1"/>
  <c r="AC10" i="1"/>
  <c r="AE79" i="1" s="1"/>
  <c r="AC26" i="1"/>
  <c r="AC28" i="1"/>
  <c r="AC29" i="1"/>
  <c r="AC27" i="1"/>
  <c r="AE111" i="1" s="1"/>
  <c r="AC9" i="1"/>
  <c r="AE77" i="1" s="1"/>
  <c r="AE83" i="1" l="1"/>
  <c r="AE108" i="1"/>
  <c r="AE107" i="1"/>
  <c r="AE76" i="1"/>
  <c r="AE96" i="1"/>
  <c r="AE69" i="1"/>
  <c r="AE93" i="1"/>
  <c r="AE70" i="1"/>
  <c r="AE88" i="1"/>
  <c r="AE65" i="1"/>
  <c r="AE84" i="1"/>
  <c r="AE64" i="1"/>
  <c r="AE92" i="1"/>
  <c r="AE82" i="1"/>
  <c r="AE10" i="1"/>
  <c r="AE52" i="1"/>
  <c r="AF10" i="1"/>
  <c r="AE24" i="1"/>
  <c r="AF24" i="1"/>
  <c r="AE23" i="1"/>
  <c r="AE42" i="1"/>
  <c r="AF23" i="1"/>
  <c r="AE22" i="1"/>
  <c r="AF22" i="1"/>
  <c r="AE47" i="1"/>
  <c r="AE29" i="1"/>
  <c r="AF29" i="1"/>
  <c r="AE11" i="1"/>
  <c r="AE50" i="1"/>
  <c r="AE34" i="1"/>
  <c r="AF11" i="1"/>
  <c r="AE20" i="1"/>
  <c r="AF20" i="1"/>
  <c r="AE53" i="1"/>
  <c r="AE14" i="1"/>
  <c r="AF14" i="1"/>
  <c r="AE13" i="1"/>
  <c r="AF13" i="1"/>
  <c r="AE27" i="1"/>
  <c r="AF27" i="1"/>
  <c r="AE28" i="1"/>
  <c r="AF28" i="1"/>
  <c r="AE12" i="1"/>
  <c r="AF12" i="1"/>
  <c r="AE19" i="1"/>
  <c r="AF19" i="1"/>
  <c r="AE21" i="1"/>
  <c r="AF21" i="1"/>
  <c r="AE18" i="1"/>
  <c r="AE60" i="1"/>
  <c r="AF18" i="1"/>
  <c r="AE9" i="1"/>
  <c r="AE49" i="1"/>
  <c r="AE33" i="1"/>
  <c r="AF9" i="1"/>
  <c r="AE26" i="1"/>
  <c r="AE44" i="1"/>
  <c r="AF26" i="1"/>
  <c r="AE61" i="1"/>
  <c r="AE40" i="1"/>
  <c r="AE16" i="1"/>
  <c r="AF16" i="1"/>
  <c r="AE15" i="1"/>
  <c r="AE59" i="1"/>
  <c r="AF15" i="1"/>
  <c r="AE25" i="1"/>
  <c r="AF25" i="1"/>
  <c r="AE41" i="1"/>
  <c r="AE17" i="1"/>
  <c r="AE58" i="1"/>
  <c r="AF17" i="1"/>
  <c r="AI29" i="1"/>
  <c r="AI28" i="1"/>
  <c r="AI27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26" i="1"/>
  <c r="A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</author>
  </authors>
  <commentList>
    <comment ref="M8" authorId="0" shapeId="0" xr:uid="{D1B0807A-529F-4EE1-96DE-60A91DC50514}">
      <text>
        <r>
          <rPr>
            <b/>
            <sz val="9"/>
            <color indexed="81"/>
            <rFont val="Tahoma"/>
            <family val="2"/>
          </rPr>
          <t>Jeff:</t>
        </r>
        <r>
          <rPr>
            <sz val="9"/>
            <color indexed="81"/>
            <rFont val="Tahoma"/>
            <family val="2"/>
          </rPr>
          <t xml:space="preserve">
for consistency of ID on league table where age bracket changes during series. Not for handicap calculation</t>
        </r>
      </text>
    </comment>
    <comment ref="X8" authorId="0" shapeId="0" xr:uid="{4E31551F-21E1-48AF-8125-C9246B69004B}">
      <text>
        <r>
          <rPr>
            <b/>
            <sz val="9"/>
            <color indexed="81"/>
            <rFont val="Tahoma"/>
            <family val="2"/>
          </rPr>
          <t>Jeff:</t>
        </r>
        <r>
          <rPr>
            <sz val="9"/>
            <color indexed="81"/>
            <rFont val="Tahoma"/>
            <family val="2"/>
          </rPr>
          <t xml:space="preserve">
Elite raw score  x Handicap factor</t>
        </r>
      </text>
    </comment>
    <comment ref="AD8" authorId="0" shapeId="0" xr:uid="{0F5F5AD9-14A6-471D-B450-69D4E31ABF1A}">
      <text>
        <r>
          <rPr>
            <b/>
            <sz val="9"/>
            <color indexed="81"/>
            <rFont val="Tahoma"/>
            <family val="2"/>
          </rPr>
          <t>Jeff:</t>
        </r>
        <r>
          <rPr>
            <sz val="9"/>
            <color indexed="81"/>
            <rFont val="Tahoma"/>
            <family val="2"/>
          </rPr>
          <t xml:space="preserve">
figure= how many runs so far for that runner in the series</t>
        </r>
      </text>
    </comment>
    <comment ref="AF8" authorId="0" shapeId="0" xr:uid="{7BB7B733-7C74-429A-BC9E-F0151B93ADF6}">
      <text>
        <r>
          <rPr>
            <b/>
            <sz val="9"/>
            <color indexed="81"/>
            <rFont val="Tahoma"/>
            <family val="2"/>
          </rPr>
          <t>Jeff:</t>
        </r>
        <r>
          <rPr>
            <sz val="9"/>
            <color indexed="81"/>
            <rFont val="Tahoma"/>
            <family val="2"/>
          </rPr>
          <t xml:space="preserve">
prevents double-counting</t>
        </r>
      </text>
    </comment>
    <comment ref="D36" authorId="0" shapeId="0" xr:uid="{6F9D8A39-75CD-435E-B271-09941F8FD31D}">
      <text>
        <r>
          <rPr>
            <b/>
            <sz val="9"/>
            <color indexed="81"/>
            <rFont val="Tahoma"/>
            <charset val="1"/>
          </rPr>
          <t>Jeff:</t>
        </r>
        <r>
          <rPr>
            <sz val="9"/>
            <color indexed="81"/>
            <rFont val="Tahoma"/>
            <charset val="1"/>
          </rPr>
          <t xml:space="preserve">
YOB: 2001</t>
        </r>
      </text>
    </comment>
    <comment ref="D37" authorId="0" shapeId="0" xr:uid="{20223768-3905-4EDD-B6DD-69C57AB90EF1}">
      <text>
        <r>
          <rPr>
            <b/>
            <sz val="9"/>
            <color indexed="81"/>
            <rFont val="Tahoma"/>
            <charset val="1"/>
          </rPr>
          <t>Jeff:</t>
        </r>
        <r>
          <rPr>
            <sz val="9"/>
            <color indexed="81"/>
            <rFont val="Tahoma"/>
            <charset val="1"/>
          </rPr>
          <t xml:space="preserve">
YOB: 2002</t>
        </r>
      </text>
    </comment>
  </commentList>
</comments>
</file>

<file path=xl/sharedStrings.xml><?xml version="1.0" encoding="utf-8"?>
<sst xmlns="http://schemas.openxmlformats.org/spreadsheetml/2006/main" count="760" uniqueCount="228">
  <si>
    <t>Name</t>
  </si>
  <si>
    <t>Gross points</t>
  </si>
  <si>
    <t>Course</t>
  </si>
  <si>
    <t>Long</t>
  </si>
  <si>
    <t>Class:</t>
  </si>
  <si>
    <t>Age Handicap:</t>
  </si>
  <si>
    <t>M10</t>
  </si>
  <si>
    <t>W10</t>
  </si>
  <si>
    <t>M12</t>
  </si>
  <si>
    <t>W12</t>
  </si>
  <si>
    <t>M14</t>
  </si>
  <si>
    <t>W14</t>
  </si>
  <si>
    <t>M16</t>
  </si>
  <si>
    <t>W16</t>
  </si>
  <si>
    <t>M18</t>
  </si>
  <si>
    <t>W18</t>
  </si>
  <si>
    <t>M20</t>
  </si>
  <si>
    <t>W20</t>
  </si>
  <si>
    <t>M21</t>
  </si>
  <si>
    <t>W21</t>
  </si>
  <si>
    <t>M35</t>
  </si>
  <si>
    <t>W35</t>
  </si>
  <si>
    <t>M40</t>
  </si>
  <si>
    <t>W40</t>
  </si>
  <si>
    <t>M45</t>
  </si>
  <si>
    <t>W45</t>
  </si>
  <si>
    <t>M50</t>
  </si>
  <si>
    <t>W50</t>
  </si>
  <si>
    <t>M55</t>
  </si>
  <si>
    <t>W55</t>
  </si>
  <si>
    <t>M60</t>
  </si>
  <si>
    <t>W60</t>
  </si>
  <si>
    <t>M65</t>
  </si>
  <si>
    <t>W65</t>
  </si>
  <si>
    <t>M70</t>
  </si>
  <si>
    <t>W70</t>
  </si>
  <si>
    <t>M75</t>
  </si>
  <si>
    <t>W75</t>
  </si>
  <si>
    <t>Handicap system</t>
  </si>
  <si>
    <t>M80</t>
  </si>
  <si>
    <t>W80</t>
  </si>
  <si>
    <t>Age class</t>
  </si>
  <si>
    <t>Handicap score</t>
  </si>
  <si>
    <t>club</t>
  </si>
  <si>
    <t>Holway</t>
  </si>
  <si>
    <t>For website</t>
  </si>
  <si>
    <t>Yeovil</t>
  </si>
  <si>
    <t>Taunton N</t>
  </si>
  <si>
    <t xml:space="preserve">Short </t>
  </si>
  <si>
    <t>Venue</t>
  </si>
  <si>
    <t>Days</t>
  </si>
  <si>
    <t>Conver- sion factor</t>
  </si>
  <si>
    <t>Minutes (calc'd)</t>
  </si>
  <si>
    <t>Handicap raw score</t>
  </si>
  <si>
    <t>Handicap factor</t>
  </si>
  <si>
    <t>Elite score</t>
  </si>
  <si>
    <t>Venue / class</t>
  </si>
  <si>
    <t>Row Labels</t>
  </si>
  <si>
    <t>Grand Total</t>
  </si>
  <si>
    <t>Column Labels</t>
  </si>
  <si>
    <t>Sum of Handicap score</t>
  </si>
  <si>
    <t>Name-Club-Class</t>
  </si>
  <si>
    <t>Alasdair Shaw- QO- M40</t>
  </si>
  <si>
    <t>Angela Modica- QO- W45</t>
  </si>
  <si>
    <t>Brian Fletcher- IND- M45</t>
  </si>
  <si>
    <t>Gavin Clegg- BOK- M60</t>
  </si>
  <si>
    <t>Graham Hartley- QO- M55</t>
  </si>
  <si>
    <t>John Carter- QO- M65</t>
  </si>
  <si>
    <t>John Fisher- QO- M70</t>
  </si>
  <si>
    <t>Martin Lewis- QO- M50</t>
  </si>
  <si>
    <t>Ray Toomer- QO- M65</t>
  </si>
  <si>
    <t>Richard Keighley- WIM- M70</t>
  </si>
  <si>
    <t>Simon St Leger-Harris- BOK- M65</t>
  </si>
  <si>
    <t>Stephen Lysaczenko- QO- M55</t>
  </si>
  <si>
    <t>Steve Robertson- QO- M65</t>
  </si>
  <si>
    <t>Sue Toomer- QO- W60</t>
  </si>
  <si>
    <t>Tamsin Pakes- QO- W40</t>
  </si>
  <si>
    <t>Mins under if max pts</t>
  </si>
  <si>
    <t>Net points, per app</t>
  </si>
  <si>
    <t>Bonus (20 pts/ min)</t>
  </si>
  <si>
    <t>Between short and long course</t>
  </si>
  <si>
    <t>Quantock Orienteers Urban After Dark Series (QOUADS), 2018/19</t>
  </si>
  <si>
    <t>Using MapRun app. Held Spring 2019</t>
  </si>
  <si>
    <t>Handicap League</t>
  </si>
  <si>
    <t>for Owl trophy</t>
  </si>
  <si>
    <t>Paralympic category</t>
  </si>
  <si>
    <t>Note: Steve Robertson scored 929 points at Holway but didn't count as not on event night!</t>
  </si>
  <si>
    <t xml:space="preserve"> Runner</t>
  </si>
  <si>
    <t>Mark Lockett- DEVON- M45</t>
  </si>
  <si>
    <t>Matt Atkins- DEVON- M45</t>
  </si>
  <si>
    <t>Pete Shirvington- QO- M45</t>
  </si>
  <si>
    <t>Richard Sansbury- QO- M50</t>
  </si>
  <si>
    <t>Elizabeth Treherne- BOK- W50</t>
  </si>
  <si>
    <t>Andy Reynolds- DEVON- M50</t>
  </si>
  <si>
    <t>Alison Reynolds- DEVON- W50</t>
  </si>
  <si>
    <t>Adam Wood- QO- M16</t>
  </si>
  <si>
    <t>Posi- tion h'cap</t>
  </si>
  <si>
    <t>Pos Elite</t>
  </si>
  <si>
    <t>Comeytrowe</t>
  </si>
  <si>
    <t>Short</t>
  </si>
  <si>
    <t>Martin Lewis</t>
  </si>
  <si>
    <t>Helen Kelsey</t>
  </si>
  <si>
    <t>Andy Rimes</t>
  </si>
  <si>
    <t>QO</t>
  </si>
  <si>
    <t>BOK</t>
  </si>
  <si>
    <t>Mins</t>
  </si>
  <si>
    <t>Secs</t>
  </si>
  <si>
    <t>Pete Shirvington</t>
  </si>
  <si>
    <t>Robin Fieldhouse</t>
  </si>
  <si>
    <t>Brian Pearson</t>
  </si>
  <si>
    <t>Simon St Leger-Harris</t>
  </si>
  <si>
    <t>Wellington E</t>
  </si>
  <si>
    <t>Graham Hartley</t>
  </si>
  <si>
    <t>Cheddar</t>
  </si>
  <si>
    <t>squash by</t>
  </si>
  <si>
    <t>JP</t>
  </si>
  <si>
    <t>8k</t>
  </si>
  <si>
    <t>M30</t>
  </si>
  <si>
    <t>http://misweb.cbi.msstate.edu/~rpearson/mendist.html</t>
  </si>
  <si>
    <t>W30</t>
  </si>
  <si>
    <t>Time</t>
  </si>
  <si>
    <t>Penalty (30 pts/ min)</t>
  </si>
  <si>
    <t>Raw score</t>
  </si>
  <si>
    <t>Handicap to count</t>
  </si>
  <si>
    <t>Planner's score</t>
  </si>
  <si>
    <t>Sum of Handicap to count</t>
  </si>
  <si>
    <t>Name/ course</t>
  </si>
  <si>
    <t>Series pts tble</t>
  </si>
  <si>
    <t>Series pts</t>
  </si>
  <si>
    <t>Andy Rimes- QO- M55</t>
  </si>
  <si>
    <t>Helen Kelsey- BOK- W60</t>
  </si>
  <si>
    <t>Runs to count</t>
  </si>
  <si>
    <t>Rank points by runner</t>
  </si>
  <si>
    <t>over- ride</t>
  </si>
  <si>
    <t>Series length</t>
  </si>
  <si>
    <t>Names - Club - Class</t>
  </si>
  <si>
    <t>Name - Club - Class</t>
  </si>
  <si>
    <t xml:space="preserve"> Total</t>
  </si>
  <si>
    <t>http://www.mastersathletics.net/index.php?id=2595</t>
  </si>
  <si>
    <t xml:space="preserve">8k </t>
  </si>
  <si>
    <t>Miss</t>
  </si>
  <si>
    <t>Master Ath</t>
  </si>
  <si>
    <t>Best estimate</t>
  </si>
  <si>
    <t>Master ath age grade</t>
  </si>
  <si>
    <t>Calculation of results (handicap basis)</t>
  </si>
  <si>
    <t>Chris Kelsey</t>
  </si>
  <si>
    <t>Ray Toomer</t>
  </si>
  <si>
    <t>Chris Kelsey- BOK- M60</t>
  </si>
  <si>
    <t>League tables</t>
  </si>
  <si>
    <t>Urban leagues</t>
  </si>
  <si>
    <t>Rosie Wych</t>
  </si>
  <si>
    <t>Rosie Wych- QO- W65</t>
  </si>
  <si>
    <t>Yeovil NE</t>
  </si>
  <si>
    <t>pos</t>
  </si>
  <si>
    <t>Course length</t>
  </si>
  <si>
    <t xml:space="preserve">enter </t>
  </si>
  <si>
    <t>enter</t>
  </si>
  <si>
    <t>Taunton Hamilton</t>
  </si>
  <si>
    <t>Mark Maynard</t>
  </si>
  <si>
    <t>Lucy Bussell</t>
  </si>
  <si>
    <t>Sarah Hasler</t>
  </si>
  <si>
    <t>Sue Toomer</t>
  </si>
  <si>
    <t>Ollie Rant</t>
  </si>
  <si>
    <t>Adam 'Tango' Holland</t>
  </si>
  <si>
    <t>Andy Bussell</t>
  </si>
  <si>
    <t>Miffy Treherne</t>
  </si>
  <si>
    <t>Robin Carter</t>
  </si>
  <si>
    <t>Victoria Fieldhouse</t>
  </si>
  <si>
    <t>Devon</t>
  </si>
  <si>
    <t>Ind</t>
  </si>
  <si>
    <t>Mark Maynard- QO- M50</t>
  </si>
  <si>
    <t>Lucy Bussell- QO- W16</t>
  </si>
  <si>
    <t>Sue Toomer- QO- W65</t>
  </si>
  <si>
    <t>Sarah Hasler- QO- W55</t>
  </si>
  <si>
    <t>Ollie Rant- QO- M21</t>
  </si>
  <si>
    <t>Simon St Leger-Harris- QO- M65</t>
  </si>
  <si>
    <t>Andy Bussell- QO- M45</t>
  </si>
  <si>
    <t>Robin Fieldhouse- QO- M21</t>
  </si>
  <si>
    <t>Miffy Treherne- QO- W50</t>
  </si>
  <si>
    <t>Brian Pearson- QO- M60</t>
  </si>
  <si>
    <t>Robin Carter- Devon- W60</t>
  </si>
  <si>
    <t>QO Street Series 2020/21</t>
  </si>
  <si>
    <t>Tiverton</t>
  </si>
  <si>
    <t>Adam Fieldhouse</t>
  </si>
  <si>
    <t>Angela Modica</t>
  </si>
  <si>
    <t>Elliot Smith</t>
  </si>
  <si>
    <t>Thomas Hasler</t>
  </si>
  <si>
    <t>Stephen Lysaczenko</t>
  </si>
  <si>
    <t>Alasdair Shaw</t>
  </si>
  <si>
    <t>John Carter</t>
  </si>
  <si>
    <t>Roger Craddock</t>
  </si>
  <si>
    <t>Adam Fieldhouse- QO- M21</t>
  </si>
  <si>
    <t>Spencer Modica</t>
  </si>
  <si>
    <t>Spencer Modica- Devon- M50</t>
  </si>
  <si>
    <t>Chris Philip</t>
  </si>
  <si>
    <t>Wellington</t>
  </si>
  <si>
    <t>Richard Sansbury</t>
  </si>
  <si>
    <t>Matt Atkins</t>
  </si>
  <si>
    <t>Sam Johnson</t>
  </si>
  <si>
    <t>appear- ance</t>
  </si>
  <si>
    <t>Chris Philip- QO- M65</t>
  </si>
  <si>
    <t>Matt Atkins- Devon- M50</t>
  </si>
  <si>
    <t>Thomas Hasler- QO- M20</t>
  </si>
  <si>
    <t>Age for table</t>
  </si>
  <si>
    <t>Steve Robertson</t>
  </si>
  <si>
    <t>Vikki Page</t>
  </si>
  <si>
    <t>John Trayler</t>
  </si>
  <si>
    <t>Sarah Rimes</t>
  </si>
  <si>
    <t>Vicky Fieldhouse</t>
  </si>
  <si>
    <t>Wiveliscombe</t>
  </si>
  <si>
    <t>Max points</t>
  </si>
  <si>
    <t>Events incl Max points</t>
  </si>
  <si>
    <t>?</t>
  </si>
  <si>
    <t>Vikki Page- QO- W45</t>
  </si>
  <si>
    <t>Roger Craddock- QO- M80</t>
  </si>
  <si>
    <t>John Trayler- QO- M75</t>
  </si>
  <si>
    <t>Wivvy controls</t>
  </si>
  <si>
    <t>score</t>
  </si>
  <si>
    <t>control</t>
  </si>
  <si>
    <t>TBC</t>
  </si>
  <si>
    <t>John Carter- QO- M70</t>
  </si>
  <si>
    <t>Wilton</t>
  </si>
  <si>
    <t>Taunton Wilton</t>
  </si>
  <si>
    <t>Paul Chavasse</t>
  </si>
  <si>
    <t>Archie Fieldhouse</t>
  </si>
  <si>
    <t>Control</t>
  </si>
  <si>
    <t>Score</t>
  </si>
  <si>
    <t>Paul Chavasse- QO- M55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</si>
</sst>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;\-#,##0;&quot;-&quot;"/>
    <numFmt numFmtId="165" formatCode="###0;\-###0;&quot;-&quot;"/>
    <numFmt numFmtId="166" formatCode="mm:ss;@"/>
    <numFmt numFmtId="167" formatCode="00"/>
    <numFmt numFmtId="168" formatCode="hh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" fontId="1" fillId="0" borderId="0" xfId="0" applyNumberFormat="1" applyFont="1"/>
    <xf numFmtId="4" fontId="0" fillId="0" borderId="0" xfId="0" applyNumberForma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2" fontId="0" fillId="3" borderId="0" xfId="0" applyNumberFormat="1" applyFill="1"/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7" fontId="0" fillId="0" borderId="0" xfId="0" applyNumberFormat="1"/>
    <xf numFmtId="41" fontId="0" fillId="0" borderId="0" xfId="0" applyNumberFormat="1"/>
    <xf numFmtId="164" fontId="0" fillId="0" borderId="0" xfId="0" applyNumberFormat="1"/>
    <xf numFmtId="0" fontId="1" fillId="6" borderId="1" xfId="0" applyFont="1" applyFill="1" applyBorder="1"/>
    <xf numFmtId="0" fontId="0" fillId="8" borderId="0" xfId="0" applyFill="1"/>
    <xf numFmtId="164" fontId="1" fillId="0" borderId="1" xfId="0" applyNumberFormat="1" applyFont="1" applyBorder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NumberFormat="1"/>
    <xf numFmtId="0" fontId="1" fillId="0" borderId="0" xfId="0" applyNumberFormat="1" applyFont="1"/>
    <xf numFmtId="0" fontId="0" fillId="0" borderId="0" xfId="0" applyFill="1"/>
    <xf numFmtId="0" fontId="0" fillId="0" borderId="0" xfId="0" applyNumberFormat="1" applyFill="1"/>
    <xf numFmtId="4" fontId="0" fillId="0" borderId="0" xfId="0" applyNumberFormat="1" applyFill="1"/>
    <xf numFmtId="0" fontId="0" fillId="9" borderId="0" xfId="0" applyNumberFormat="1" applyFill="1"/>
    <xf numFmtId="0" fontId="5" fillId="0" borderId="0" xfId="1"/>
    <xf numFmtId="166" fontId="0" fillId="0" borderId="0" xfId="0" applyNumberFormat="1"/>
    <xf numFmtId="166" fontId="2" fillId="0" borderId="0" xfId="0" applyNumberFormat="1" applyFont="1" applyAlignment="1">
      <alignment vertical="top" wrapText="1"/>
    </xf>
    <xf numFmtId="165" fontId="0" fillId="0" borderId="0" xfId="0" applyNumberFormat="1" applyAlignment="1">
      <alignment horizontal="center"/>
    </xf>
    <xf numFmtId="165" fontId="0" fillId="7" borderId="0" xfId="0" applyNumberFormat="1" applyFill="1" applyAlignment="1">
      <alignment horizontal="center"/>
    </xf>
    <xf numFmtId="165" fontId="1" fillId="0" borderId="0" xfId="0" applyNumberFormat="1" applyFont="1" applyAlignment="1">
      <alignment vertical="top" wrapText="1"/>
    </xf>
    <xf numFmtId="165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5" fontId="1" fillId="4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1" fontId="0" fillId="5" borderId="0" xfId="0" applyNumberFormat="1" applyFill="1" applyBorder="1"/>
    <xf numFmtId="1" fontId="0" fillId="0" borderId="0" xfId="0" applyNumberFormat="1" applyFill="1" applyBorder="1"/>
    <xf numFmtId="165" fontId="0" fillId="4" borderId="6" xfId="0" applyNumberFormat="1" applyFill="1" applyBorder="1"/>
    <xf numFmtId="0" fontId="0" fillId="0" borderId="0" xfId="0" applyFill="1" applyBorder="1" applyAlignment="1">
      <alignment horizontal="center"/>
    </xf>
    <xf numFmtId="167" fontId="5" fillId="0" borderId="0" xfId="1" applyNumberFormat="1"/>
    <xf numFmtId="167" fontId="1" fillId="0" borderId="0" xfId="0" applyNumberFormat="1" applyFont="1"/>
    <xf numFmtId="167" fontId="0" fillId="0" borderId="0" xfId="0" applyNumberFormat="1"/>
    <xf numFmtId="167" fontId="0" fillId="9" borderId="0" xfId="0" applyNumberFormat="1" applyFill="1"/>
    <xf numFmtId="167" fontId="0" fillId="0" borderId="0" xfId="0" applyNumberFormat="1" applyFill="1"/>
    <xf numFmtId="0" fontId="1" fillId="7" borderId="0" xfId="0" applyFont="1" applyFill="1"/>
    <xf numFmtId="0" fontId="0" fillId="7" borderId="0" xfId="0" applyFill="1"/>
    <xf numFmtId="165" fontId="1" fillId="7" borderId="4" xfId="0" applyNumberFormat="1" applyFont="1" applyFill="1" applyBorder="1" applyAlignment="1">
      <alignment horizontal="center" vertical="top" wrapText="1"/>
    </xf>
    <xf numFmtId="165" fontId="0" fillId="7" borderId="6" xfId="0" applyNumberFormat="1" applyFill="1" applyBorder="1"/>
    <xf numFmtId="0" fontId="0" fillId="0" borderId="2" xfId="0" applyFont="1" applyBorder="1"/>
    <xf numFmtId="0" fontId="0" fillId="0" borderId="7" xfId="0" applyFont="1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0" xfId="0" applyFill="1"/>
    <xf numFmtId="0" fontId="0" fillId="10" borderId="0" xfId="0" applyFont="1" applyFill="1"/>
    <xf numFmtId="0" fontId="0" fillId="10" borderId="0" xfId="0" applyFill="1"/>
    <xf numFmtId="166" fontId="0" fillId="3" borderId="0" xfId="0" applyNumberFormat="1" applyFill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65" fontId="0" fillId="3" borderId="0" xfId="0" applyNumberFormat="1" applyFill="1"/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ont="1" applyFill="1"/>
    <xf numFmtId="166" fontId="0" fillId="0" borderId="0" xfId="0" applyNumberFormat="1" applyFill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165" fontId="0" fillId="0" borderId="0" xfId="0" applyNumberFormat="1" applyFill="1" applyBorder="1" applyAlignment="1">
      <alignment horizontal="center"/>
    </xf>
    <xf numFmtId="0" fontId="0" fillId="0" borderId="0" xfId="0" applyFont="1" applyFill="1" applyBorder="1"/>
    <xf numFmtId="0" fontId="1" fillId="11" borderId="0" xfId="0" applyFont="1" applyFill="1" applyAlignment="1">
      <alignment vertical="top" wrapText="1"/>
    </xf>
    <xf numFmtId="0" fontId="0" fillId="11" borderId="0" xfId="0" applyFill="1"/>
    <xf numFmtId="0" fontId="0" fillId="0" borderId="0" xfId="0" applyAlignment="1">
      <alignment vertical="top" wrapText="1"/>
    </xf>
    <xf numFmtId="0" fontId="0" fillId="0" borderId="0" xfId="0" pivotButton="1" applyAlignment="1">
      <alignment vertical="top" wrapText="1"/>
    </xf>
    <xf numFmtId="168" fontId="0" fillId="0" borderId="0" xfId="0" applyNumberFormat="1"/>
  </cellXfs>
  <cellStyles count="2">
    <cellStyle name="Hyperlink" xfId="1" builtinId="8"/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alignment vertical="top" wrapText="1"/>
    </dxf>
    <dxf>
      <alignment vertical="top" wrapText="1"/>
    </dxf>
    <dxf>
      <alignment vertical="top" wrapText="1"/>
    </dxf>
    <dxf>
      <alignment vertical="top" wrapText="1"/>
    </dxf>
    <dxf>
      <alignment vertical="top" wrapText="1"/>
    </dxf>
    <dxf>
      <alignment vertical="top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" refreshedDate="44345.869505902781" createdVersion="6" refreshedVersion="7" minRefreshableVersion="3" recordCount="21" xr:uid="{68E38A58-6F1E-4F1A-8699-3D138DE3DF53}">
  <cacheSource type="worksheet">
    <worksheetSource ref="A8:AI29" sheet="Calculator"/>
  </cacheSource>
  <cacheFields count="35">
    <cacheField name="Venue" numFmtId="0">
      <sharedItems containsBlank="1" count="10">
        <s v="Taunton Hamilton"/>
        <s v="Cheddar" u="1"/>
        <m u="1"/>
        <s v="Tiverton" u="1"/>
        <s v="Yeovil" u="1"/>
        <s v="Yeovil NE" u="1"/>
        <s v="Taunton N" u="1"/>
        <s v="Wellington E" u="1"/>
        <s v="Comeytrowe" u="1"/>
        <s v="Holway" u="1"/>
      </sharedItems>
    </cacheField>
    <cacheField name="Course" numFmtId="0">
      <sharedItems/>
    </cacheField>
    <cacheField name="Venue / class" numFmtId="0">
      <sharedItems/>
    </cacheField>
    <cacheField name="Name" numFmtId="0">
      <sharedItems/>
    </cacheField>
    <cacheField name="Name/ course" numFmtId="0">
      <sharedItems/>
    </cacheField>
    <cacheField name="club" numFmtId="0">
      <sharedItems/>
    </cacheField>
    <cacheField name="Mins" numFmtId="0">
      <sharedItems containsSemiMixedTypes="0" containsString="0" containsNumber="1" containsInteger="1" minValue="49" maxValue="57"/>
    </cacheField>
    <cacheField name="Secs" numFmtId="0">
      <sharedItems containsSemiMixedTypes="0" containsString="0" containsNumber="1" containsInteger="1" minValue="1" maxValue="56"/>
    </cacheField>
    <cacheField name="Time" numFmtId="166">
      <sharedItems containsSemiMixedTypes="0" containsNonDate="0" containsDate="1" containsString="0" minDate="1899-12-30T00:49:30" maxDate="1899-12-30T00:57:39"/>
    </cacheField>
    <cacheField name="Days" numFmtId="0">
      <sharedItems containsSemiMixedTypes="0" containsString="0" containsNumber="1" minValue="3.4374999999999996E-2" maxValue="4.0034722222222222E-2"/>
    </cacheField>
    <cacheField name="Conver- sion factor" numFmtId="0">
      <sharedItems containsSemiMixedTypes="0" containsString="0" containsNumber="1" containsInteger="1" minValue="1" maxValue="1"/>
    </cacheField>
    <cacheField name="Minutes (calc'd)" numFmtId="2">
      <sharedItems containsSemiMixedTypes="0" containsString="0" containsNumber="1" minValue="49.5" maxValue="57.65"/>
    </cacheField>
    <cacheField name="Age for table" numFmtId="0">
      <sharedItems containsNonDate="0" containsString="0" containsBlank="1"/>
    </cacheField>
    <cacheField name="Age class" numFmtId="0">
      <sharedItems/>
    </cacheField>
    <cacheField name="Gross points" numFmtId="0">
      <sharedItems containsSemiMixedTypes="0" containsString="0" containsNumber="1" containsInteger="1" minValue="270" maxValue="870"/>
    </cacheField>
    <cacheField name="Penalty (30 pts/ min)" numFmtId="165">
      <sharedItems containsString="0" containsBlank="1" containsNumber="1" containsInteger="1" minValue="0" maxValue="240"/>
    </cacheField>
    <cacheField name="Net points, per app" numFmtId="0">
      <sharedItems containsSemiMixedTypes="0" containsString="0" containsNumber="1" containsInteger="1" minValue="90" maxValue="850"/>
    </cacheField>
    <cacheField name="Mins under if max pts" numFmtId="0">
      <sharedItems containsSemiMixedTypes="0" containsString="0" containsNumber="1" containsInteger="1" minValue="0" maxValue="0"/>
    </cacheField>
    <cacheField name="Bonus (20 pts/ min)" numFmtId="165">
      <sharedItems containsSemiMixedTypes="0" containsString="0" containsNumber="1" containsInteger="1" minValue="0" maxValue="0"/>
    </cacheField>
    <cacheField name="Raw score" numFmtId="165">
      <sharedItems containsSemiMixedTypes="0" containsString="0" containsNumber="1" containsInteger="1" minValue="90" maxValue="850"/>
    </cacheField>
    <cacheField name="Elite score" numFmtId="1">
      <sharedItems containsSemiMixedTypes="0" containsString="0" containsNumber="1" containsInteger="1" minValue="106" maxValue="1000"/>
    </cacheField>
    <cacheField name="Pos Elite" numFmtId="1">
      <sharedItems containsSemiMixedTypes="0" containsString="0" containsNumber="1" containsInteger="1" minValue="1" maxValue="14"/>
    </cacheField>
    <cacheField name="Handicap factor" numFmtId="0">
      <sharedItems containsSemiMixedTypes="0" containsString="0" containsNumber="1" minValue="0.61" maxValue="1"/>
    </cacheField>
    <cacheField name="Handicap raw score" numFmtId="165">
      <sharedItems containsSemiMixedTypes="0" containsString="0" containsNumber="1" containsInteger="1" minValue="129" maxValue="908"/>
    </cacheField>
    <cacheField name="Planner's score" numFmtId="1">
      <sharedItems containsNonDate="0" containsString="0" containsBlank="1"/>
    </cacheField>
    <cacheField name="Handicap score" numFmtId="165">
      <sharedItems containsSemiMixedTypes="0" containsString="0" containsNumber="1" containsInteger="1" minValue="142" maxValue="1000"/>
    </cacheField>
    <cacheField name="over- ride" numFmtId="1">
      <sharedItems containsNonDate="0" containsString="0" containsBlank="1"/>
    </cacheField>
    <cacheField name="Rank points by runner" numFmtId="0">
      <sharedItems containsSemiMixedTypes="0" containsString="0" containsNumber="1" containsInteger="1" minValue="1" maxValue="4"/>
    </cacheField>
    <cacheField name="Handicap to count" numFmtId="165">
      <sharedItems containsMixedTypes="1" containsNumber="1" containsInteger="1" minValue="301" maxValue="1000"/>
    </cacheField>
    <cacheField name="appear- ance" numFmtId="0">
      <sharedItems containsSemiMixedTypes="0" containsString="0" containsNumber="1" containsInteger="1" minValue="1" maxValue="1"/>
    </cacheField>
    <cacheField name="Series pts" numFmtId="165">
      <sharedItems containsSemiMixedTypes="0" containsString="0" containsNumber="1" containsInteger="1" minValue="0" maxValue="3000"/>
    </cacheField>
    <cacheField name="Series pts tble" numFmtId="165">
      <sharedItems containsSemiMixedTypes="0" containsString="0" containsNumber="1" containsInteger="1" minValue="0" maxValue="3000"/>
    </cacheField>
    <cacheField name="Posi- tion h'cap" numFmtId="0">
      <sharedItems containsSemiMixedTypes="0" containsString="0" containsNumber="1" containsInteger="1" minValue="1" maxValue="14"/>
    </cacheField>
    <cacheField name="Name-Club-Class" numFmtId="0">
      <sharedItems containsBlank="1" count="83">
        <s v="Ollie Rant- QO- M21"/>
        <s v="Adam 'Tango' Holland- Ind- M30"/>
        <s v="Robin Fieldhouse- QO- M21"/>
        <s v="Chris Kelsey- BOK- M60"/>
        <s v="Graham Hartley- QO- M55"/>
        <s v="Andy Bussell- QO- M45"/>
        <s v="Pete Shirvington- QO- M45"/>
        <s v="Simon St Leger-Harris- QO- M65"/>
        <s v="Miffy Treherne- QO- W50"/>
        <s v="Brian Pearson- QO- M60"/>
        <s v="Martin Lewis- QO- M50"/>
        <s v="Helen Kelsey- BOK- W60"/>
        <s v="Robin Carter- Devon- W60"/>
        <s v="Victoria Fieldhouse- Ind- W55"/>
        <s v="Andy Rimes- QO- M55"/>
        <s v="Mark Maynard- QO- M50"/>
        <s v="Lucy Bussell- QO- W16"/>
        <s v="Ray Toomer- QO- M65"/>
        <s v="Rosie Wych- QO- W65"/>
        <s v="Sue Toomer- QO- W65"/>
        <s v="Sarah Hasler- QO- W55"/>
        <m u="1"/>
        <s v="Adam Wood- QO- M16" u="1"/>
        <s v="Simon St Leger-Harris- BOK- M65" u="1"/>
        <s v="Kirk Shepherd- IND- M35" u="1"/>
        <s v="Angela Modica- QO- W45" u="1"/>
        <s v="Elizabeth Treherne- BOK- W50" u="1"/>
        <s v="Andrew Bussell- QO- M45" u="1"/>
        <s v="John Carter- QO- M75" u="1"/>
        <s v="Alasdair Shaw- QO- M40" u="1"/>
        <s v="Adam Bettiss- SARUM- M35" u="1"/>
        <s v="Sarah Rimes- IND- W21" u="1"/>
        <s v="Brian Fletcher- IND- M45" u="1"/>
        <s v="Malcolm Hilton- DEVON- M50" u="1"/>
        <s v="Roger Craddock- QO- M75" u="1"/>
        <s v="Sam Landrigan- BOK- M30" u="1"/>
        <s v="Jackie Hallett- BOK- W60" u="1"/>
        <s v="Liz Cope- BOK- W60" u="1"/>
        <s v="Adam Fieldhouse- LUOC- M21" u="1"/>
        <s v="Sebastian Hemmings- QO- M10" u="1"/>
        <s v="Brian Pearson- QO- M55" u="1"/>
        <s v="Freddie Macpherson- QO- M10" u="1"/>
        <s v="Michael Hallett- BOK- M21" u="1"/>
        <s v="Kelvin Peard- IND- M55" u="1"/>
        <s v="Angus MacAlister- QO- M40" u="1"/>
        <s v="Christine King- BOK- W70" u="1"/>
        <s v="Mark Lockett- DEVON- M45" u="1"/>
        <s v="Andy Reynolds- DEVON- M50" u="1"/>
        <s v="Sheila Braine- QO- W50" u="1"/>
        <s v="Lynn Branford- WIM- W70" u="1"/>
        <s v="Sue Toomer- QO- W60" u="1"/>
        <s v="Chris Phillip- QO- M65" u="1"/>
        <s v="Al Hemmings- QO- W10" u="1"/>
        <s v="Emily Macpherson- QO- W40" u="1"/>
        <s v="Elizabeth Cope- BOK- W60" u="1"/>
        <s v="Dawn Morton- IND- W30" u="1"/>
        <s v="Steve Robertson- QO- M65" u="1"/>
        <s v="Gavin Clegg- BOK- M60" u="1"/>
        <s v="Nicola Morris- BOK- W40" u="1"/>
        <s v="John Carter- QO- M65" u="1"/>
        <s v="Agnes Kaminska- BOK- W40" u="1"/>
        <s v="Nath Fernandes- BOK- M21" u="1"/>
        <s v="Robin Fieldhouse- IND- M21" u="1"/>
        <s v="Vikki Page- QO- W45" u="1"/>
        <s v="Dawn Morton- IND- W21" u="1"/>
        <s v="Richard Keighley- WIM- M70" u="1"/>
        <s v="Frazer Lysaczenko- IND- M20" u="1"/>
        <s v="Matthew Atkins- DEVON- M50" u="1"/>
        <s v="Damien Fieldhouse- IND- M21" u="1"/>
        <s v="Mark Lockett- KERNO- M45" u="1"/>
        <s v="Adam Fieldhouse- IND- M21" u="1"/>
        <s v="Robert Green- QO- M60" u="1"/>
        <s v="Vicky Fieldhouse- IND- W55" u="1"/>
        <s v="- - " u="1"/>
        <s v="Matt Atkins- DEVON- M45" u="1"/>
        <s v="Stephen Lysaczenko- QO- M55" u="1"/>
        <s v="Alison Reynolds- DEVON- W50" u="1"/>
        <s v="Chris Branford- WIM- M70" u="1"/>
        <s v="Gareth O'Connor- DEVON- M50" u="1"/>
        <s v="Ian Tait- SARUM- M65" u="1"/>
        <s v="John Fisher- QO- M70" u="1"/>
        <s v="Richard Sansbury- QO- M50" u="1"/>
        <s v="Tamsin Pakes- QO- W40" u="1"/>
      </sharedItems>
    </cacheField>
    <cacheField name="Handicap score2" numFmtId="165">
      <sharedItems containsMixedTypes="1" containsNumber="1" containsInteger="1" minValue="301" maxValue="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" refreshedDate="44363.843204976853" createdVersion="6" refreshedVersion="7" minRefreshableVersion="3" recordCount="107" xr:uid="{B403B814-B154-4348-B437-F6BB2D3ED055}">
  <cacheSource type="worksheet">
    <worksheetSource ref="A8:AI115" sheet="Calculator"/>
  </cacheSource>
  <cacheFields count="35">
    <cacheField name="Venue" numFmtId="0">
      <sharedItems count="5">
        <s v="Taunton Hamilton"/>
        <s v="Tiverton"/>
        <s v="Wellington"/>
        <s v="Wiveliscombe"/>
        <s v="Taunton Wilton"/>
      </sharedItems>
    </cacheField>
    <cacheField name="Course" numFmtId="0">
      <sharedItems count="2">
        <s v="Long"/>
        <s v="Short"/>
      </sharedItems>
    </cacheField>
    <cacheField name="Venue / class" numFmtId="0">
      <sharedItems/>
    </cacheField>
    <cacheField name="Name" numFmtId="0">
      <sharedItems/>
    </cacheField>
    <cacheField name="Name/ course" numFmtId="0">
      <sharedItems/>
    </cacheField>
    <cacheField name="club" numFmtId="0">
      <sharedItems/>
    </cacheField>
    <cacheField name="Mins" numFmtId="0">
      <sharedItems containsString="0" containsBlank="1" containsNumber="1" containsInteger="1" minValue="40" maxValue="62"/>
    </cacheField>
    <cacheField name="Secs" numFmtId="0">
      <sharedItems containsString="0" containsBlank="1" containsNumber="1" containsInteger="1" minValue="0" maxValue="59"/>
    </cacheField>
    <cacheField name="Time" numFmtId="0">
      <sharedItems containsDate="1" containsMixedTypes="1" minDate="1899-12-30T00:40:16" maxDate="1899-12-30T01:02:17"/>
    </cacheField>
    <cacheField name="Days" numFmtId="0">
      <sharedItems containsMixedTypes="1" containsNumber="1" minValue="2.7962962962962964E-2" maxValue="4.3252314814814813E-2"/>
    </cacheField>
    <cacheField name="Conver- sion factor" numFmtId="0">
      <sharedItems containsSemiMixedTypes="0" containsString="0" containsNumber="1" minValue="1.6666666666666666E-2" maxValue="1"/>
    </cacheField>
    <cacheField name="Minutes (calc'd)" numFmtId="2">
      <sharedItems containsMixedTypes="1" containsNumber="1" minValue="40.266666666666666" maxValue="62.283333333333331"/>
    </cacheField>
    <cacheField name="Age for table" numFmtId="0">
      <sharedItems containsBlank="1"/>
    </cacheField>
    <cacheField name="Age class" numFmtId="0">
      <sharedItems/>
    </cacheField>
    <cacheField name="Gross points" numFmtId="0">
      <sharedItems containsString="0" containsBlank="1" containsNumber="1" containsInteger="1" minValue="270" maxValue="1120"/>
    </cacheField>
    <cacheField name="Penalty (30 pts/ min)" numFmtId="165">
      <sharedItems containsString="0" containsBlank="1" containsNumber="1" containsInteger="1" minValue="0" maxValue="390"/>
    </cacheField>
    <cacheField name="Net points, per app" numFmtId="0">
      <sharedItems containsSemiMixedTypes="0" containsString="0" containsNumber="1" containsInteger="1" minValue="0" maxValue="1000"/>
    </cacheField>
    <cacheField name="Mins under if max pts" numFmtId="0">
      <sharedItems containsSemiMixedTypes="0" containsString="0" containsNumber="1" containsInteger="1" minValue="0" maxValue="0"/>
    </cacheField>
    <cacheField name="Bonus (20 pts/ min)" numFmtId="165">
      <sharedItems containsSemiMixedTypes="0" containsString="0" containsNumber="1" containsInteger="1" minValue="0" maxValue="0"/>
    </cacheField>
    <cacheField name="Raw score" numFmtId="165">
      <sharedItems containsSemiMixedTypes="0" containsString="0" containsNumber="1" containsInteger="1" minValue="0" maxValue="1000"/>
    </cacheField>
    <cacheField name="Elite score" numFmtId="1">
      <sharedItems containsSemiMixedTypes="0" containsString="0" containsNumber="1" containsInteger="1" minValue="0" maxValue="1000"/>
    </cacheField>
    <cacheField name="Pos Elite" numFmtId="1">
      <sharedItems containsSemiMixedTypes="0" containsString="0" containsNumber="1" containsInteger="1" minValue="1" maxValue="15"/>
    </cacheField>
    <cacheField name="Handicap factor" numFmtId="0">
      <sharedItems containsSemiMixedTypes="0" containsString="0" containsNumber="1" minValue="0.55000000000000004" maxValue="1"/>
    </cacheField>
    <cacheField name="Handicap raw score" numFmtId="165">
      <sharedItems containsSemiMixedTypes="0" containsString="0" containsNumber="1" containsInteger="1" minValue="0" maxValue="1386"/>
    </cacheField>
    <cacheField name="Planner's score" numFmtId="1">
      <sharedItems containsString="0" containsBlank="1" containsNumber="1" containsInteger="1" minValue="492" maxValue="970"/>
    </cacheField>
    <cacheField name="Handicap score" numFmtId="165">
      <sharedItems containsSemiMixedTypes="0" containsString="0" containsNumber="1" containsInteger="1" minValue="142" maxValue="1000"/>
    </cacheField>
    <cacheField name="over- ride" numFmtId="1">
      <sharedItems containsNonDate="0" containsString="0" containsBlank="1"/>
    </cacheField>
    <cacheField name="Rank points by runner" numFmtId="0">
      <sharedItems containsSemiMixedTypes="0" containsString="0" containsNumber="1" containsInteger="1" minValue="1" maxValue="5"/>
    </cacheField>
    <cacheField name="Handicap to count" numFmtId="165">
      <sharedItems containsMixedTypes="1" containsNumber="1" containsInteger="1" minValue="301" maxValue="1000"/>
    </cacheField>
    <cacheField name="appear- ance" numFmtId="0">
      <sharedItems containsSemiMixedTypes="0" containsString="0" containsNumber="1" containsInteger="1" minValue="1" maxValue="5"/>
    </cacheField>
    <cacheField name="Series pts" numFmtId="165">
      <sharedItems containsSemiMixedTypes="0" containsString="0" containsNumber="1" containsInteger="1" minValue="0" maxValue="3000"/>
    </cacheField>
    <cacheField name="Series pts tble" numFmtId="165">
      <sharedItems containsSemiMixedTypes="0" containsString="0" containsNumber="1" containsInteger="1" minValue="0" maxValue="3000"/>
    </cacheField>
    <cacheField name="Posi- tion h'cap" numFmtId="0">
      <sharedItems containsSemiMixedTypes="0" containsString="0" containsNumber="1" containsInteger="1" minValue="1" maxValue="15"/>
    </cacheField>
    <cacheField name="Name-Club-Class" numFmtId="0">
      <sharedItems count="51">
        <s v="Ollie Rant- QO- M21"/>
        <s v="Adam 'Tango' Holland- Ind- M30"/>
        <s v="Robin Fieldhouse- QO- M21"/>
        <s v="Chris Kelsey- BOK- M60"/>
        <s v="Graham Hartley- QO- M55"/>
        <s v="Andy Bussell- QO- M45"/>
        <s v="Pete Shirvington- QO- M45"/>
        <s v="Simon St Leger-Harris- QO- M65"/>
        <s v="Miffy Treherne- QO- W50"/>
        <s v="Brian Pearson- QO- M60"/>
        <s v="Martin Lewis- QO- M50"/>
        <s v="Helen Kelsey- BOK- W60"/>
        <s v="Robin Carter- Devon- W60"/>
        <s v="Victoria Fieldhouse- Ind- W55"/>
        <s v="Andy Rimes- QO- M55"/>
        <s v="Mark Maynard- QO- M50"/>
        <s v="Lucy Bussell- QO- W16"/>
        <s v="Ray Toomer- QO- M65"/>
        <s v="Rosie Wych- QO- W65"/>
        <s v="Sue Toomer- QO- W65"/>
        <s v="Sarah Hasler- QO- W55"/>
        <s v="Alasdair Shaw- QO- M40"/>
        <s v="Adam Fieldhouse- QO- M21"/>
        <s v="Spencer Modica- Devon- M50"/>
        <s v="Angela Modica- QO- W45"/>
        <s v="Elliot Smith- Ind- M20"/>
        <s v="Thomas Hasler- QO- M20"/>
        <s v="Stephen Lysaczenko- QO- M55"/>
        <s v="Chris Philip- QO- M65"/>
        <s v="John Carter- QO- M70"/>
        <s v="Roger Craddock- QO- M80"/>
        <s v="Richard Sansbury- QO- M50"/>
        <s v="Matt Atkins- Devon- M50"/>
        <s v="Sam Johnson- Ind- M21"/>
        <s v="Steve Robertson- QO- M65"/>
        <s v="Vikki Page- QO- W45"/>
        <s v="John Trayler- QO- M75"/>
        <s v="Sarah Rimes- Ind- W30"/>
        <s v="Vicky Fieldhouse- Ind- W55"/>
        <s v="Paul Chavasse- QO- M55"/>
        <s v="Archie Fieldhouse- Ind- M21"/>
        <s v="Chris Philip- QO- M55" u="1"/>
        <s v="Roger Craddock- QO- M75" u="1"/>
        <s v="Sarah Rimes- QO- W30" u="1"/>
        <s v="Vicky Fieldhouse- QO- W55" u="1"/>
        <s v="John Carter- QO- M65" u="1"/>
        <s v="Thomas Hasler- QO- M18" u="1"/>
        <s v="Matt Atkins- QO- M50" u="1"/>
        <s v="- - " u="1"/>
        <s v="Archie Fieldhouse- QO- M21" u="1"/>
        <s v="Oliver Rant- QO- M21" u="1"/>
      </sharedItems>
    </cacheField>
    <cacheField name="Handicap score2" numFmtId="165">
      <sharedItems containsMixedTypes="1" containsNumber="1" containsInteger="1" minValue="301" maxValue="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s v="Long"/>
    <s v="Taunton Hamilton Long"/>
    <s v="Ollie Rant"/>
    <s v="Ollie Rant Long"/>
    <s v="QO"/>
    <n v="49"/>
    <n v="30"/>
    <d v="1899-12-30T00:49:30"/>
    <n v="3.4374999999999996E-2"/>
    <n v="1"/>
    <n v="49.5"/>
    <m/>
    <s v="M21"/>
    <n v="850"/>
    <m/>
    <n v="850"/>
    <n v="0"/>
    <n v="0"/>
    <n v="850"/>
    <n v="1000"/>
    <n v="1"/>
    <n v="1"/>
    <n v="850"/>
    <m/>
    <n v="936"/>
    <m/>
    <n v="3"/>
    <n v="936"/>
    <n v="1"/>
    <n v="2858"/>
    <n v="2858"/>
    <n v="2"/>
    <x v="0"/>
    <n v="936"/>
  </r>
  <r>
    <x v="0"/>
    <s v="Long"/>
    <s v="Taunton Hamilton Long"/>
    <s v="Adam 'Tango' Holland"/>
    <s v="Adam 'Tango' Holland Long"/>
    <s v="Ind"/>
    <n v="49"/>
    <n v="56"/>
    <d v="1899-12-30T00:49:56"/>
    <n v="3.4675925925925923E-2"/>
    <n v="1"/>
    <n v="49.93333333333333"/>
    <m/>
    <s v="M30"/>
    <n v="740"/>
    <m/>
    <n v="740"/>
    <n v="0"/>
    <n v="0"/>
    <n v="740"/>
    <n v="871"/>
    <n v="2"/>
    <n v="0.99"/>
    <n v="747"/>
    <m/>
    <n v="823"/>
    <m/>
    <n v="2"/>
    <s v=""/>
    <n v="1"/>
    <n v="0"/>
    <n v="0"/>
    <n v="4"/>
    <x v="1"/>
    <s v=""/>
  </r>
  <r>
    <x v="0"/>
    <s v="Long"/>
    <s v="Taunton Hamilton Long"/>
    <s v="Robin Fieldhouse"/>
    <s v="Robin Fieldhouse Long"/>
    <s v="QO"/>
    <n v="52"/>
    <n v="14"/>
    <d v="1899-12-30T00:52:14"/>
    <n v="3.6273148148148145E-2"/>
    <n v="1"/>
    <n v="52.233333333333334"/>
    <m/>
    <s v="M21"/>
    <n v="800"/>
    <n v="90"/>
    <n v="710"/>
    <n v="0"/>
    <n v="0"/>
    <n v="710"/>
    <n v="835"/>
    <n v="3"/>
    <n v="1"/>
    <n v="710"/>
    <m/>
    <n v="782"/>
    <m/>
    <n v="3"/>
    <n v="782"/>
    <n v="1"/>
    <n v="2600"/>
    <n v="2600"/>
    <n v="7"/>
    <x v="2"/>
    <n v="782"/>
  </r>
  <r>
    <x v="0"/>
    <s v="Long"/>
    <s v="Taunton Hamilton Long"/>
    <s v="Chris Kelsey"/>
    <s v="Chris Kelsey Long"/>
    <s v="BOK"/>
    <n v="50"/>
    <n v="34"/>
    <d v="1899-12-30T00:50:34"/>
    <n v="3.5115740740740746E-2"/>
    <n v="1"/>
    <n v="50.56666666666667"/>
    <m/>
    <s v="M60"/>
    <n v="720"/>
    <n v="30"/>
    <n v="690"/>
    <n v="0"/>
    <n v="0"/>
    <n v="690"/>
    <n v="812"/>
    <n v="4"/>
    <n v="0.76"/>
    <n v="908"/>
    <m/>
    <n v="1000"/>
    <m/>
    <n v="1"/>
    <n v="1000"/>
    <n v="1"/>
    <n v="1000"/>
    <n v="1000"/>
    <n v="1"/>
    <x v="3"/>
    <n v="1000"/>
  </r>
  <r>
    <x v="0"/>
    <s v="Long"/>
    <s v="Taunton Hamilton Long"/>
    <s v="Graham Hartley"/>
    <s v="Graham Hartley Long"/>
    <s v="QO"/>
    <n v="50"/>
    <n v="46"/>
    <d v="1899-12-30T00:50:46"/>
    <n v="3.5254629629629629E-2"/>
    <n v="1"/>
    <n v="50.766666666666666"/>
    <m/>
    <s v="M55"/>
    <n v="700"/>
    <n v="30"/>
    <n v="670"/>
    <n v="0"/>
    <n v="0"/>
    <n v="670"/>
    <n v="788"/>
    <n v="5"/>
    <n v="0.82"/>
    <n v="817"/>
    <m/>
    <n v="900"/>
    <m/>
    <n v="1"/>
    <n v="900"/>
    <n v="1"/>
    <n v="900"/>
    <n v="900"/>
    <n v="3"/>
    <x v="4"/>
    <n v="900"/>
  </r>
  <r>
    <x v="0"/>
    <s v="Long"/>
    <s v="Taunton Hamilton Long"/>
    <s v="Andy Bussell"/>
    <s v="Andy Bussell Long"/>
    <s v="QO"/>
    <n v="53"/>
    <n v="56"/>
    <d v="1899-12-30T00:53:56"/>
    <n v="3.7453703703703704E-2"/>
    <n v="1"/>
    <n v="53.93333333333333"/>
    <m/>
    <s v="M45"/>
    <n v="760"/>
    <n v="120"/>
    <n v="640"/>
    <n v="0"/>
    <n v="0"/>
    <n v="640"/>
    <n v="753"/>
    <n v="6"/>
    <n v="0.89"/>
    <n v="719"/>
    <m/>
    <n v="792"/>
    <m/>
    <n v="2"/>
    <n v="792"/>
    <n v="1"/>
    <n v="1681"/>
    <n v="1681"/>
    <n v="6"/>
    <x v="5"/>
    <n v="792"/>
  </r>
  <r>
    <x v="0"/>
    <s v="Long"/>
    <s v="Taunton Hamilton Long"/>
    <s v="Pete Shirvington"/>
    <s v="Pete Shirvington Long"/>
    <s v="QO"/>
    <n v="54"/>
    <n v="17"/>
    <d v="1899-12-30T00:54:17"/>
    <n v="3.7696759259259256E-2"/>
    <n v="1"/>
    <n v="54.283333333333331"/>
    <m/>
    <s v="M45"/>
    <n v="770"/>
    <n v="150"/>
    <n v="620"/>
    <n v="0"/>
    <n v="0"/>
    <n v="620"/>
    <n v="729"/>
    <n v="7"/>
    <n v="0.89"/>
    <n v="697"/>
    <m/>
    <n v="768"/>
    <m/>
    <n v="1"/>
    <n v="768"/>
    <n v="1"/>
    <n v="1514"/>
    <n v="1514"/>
    <n v="8"/>
    <x v="6"/>
    <n v="768"/>
  </r>
  <r>
    <x v="0"/>
    <s v="Long"/>
    <s v="Taunton Hamilton Long"/>
    <s v="Simon St Leger-Harris"/>
    <s v="Simon St Leger-Harris Long"/>
    <s v="QO"/>
    <n v="52"/>
    <n v="6"/>
    <d v="1899-12-30T00:52:06"/>
    <n v="3.6180555555555556E-2"/>
    <n v="1"/>
    <n v="52.1"/>
    <m/>
    <s v="M65"/>
    <n v="610"/>
    <n v="90"/>
    <n v="520"/>
    <n v="0"/>
    <n v="0"/>
    <n v="520"/>
    <n v="612"/>
    <n v="8"/>
    <n v="0.7"/>
    <n v="743"/>
    <m/>
    <n v="818"/>
    <m/>
    <n v="1"/>
    <n v="818"/>
    <n v="1"/>
    <n v="2188"/>
    <n v="2188"/>
    <n v="5"/>
    <x v="7"/>
    <n v="818"/>
  </r>
  <r>
    <x v="0"/>
    <s v="Long"/>
    <s v="Taunton Hamilton Long"/>
    <s v="Miffy Treherne"/>
    <s v="Miffy Treherne Long"/>
    <s v="QO"/>
    <n v="50"/>
    <n v="1"/>
    <d v="1899-12-30T00:50:01"/>
    <n v="3.4733796296296297E-2"/>
    <n v="1"/>
    <n v="50.016666666666666"/>
    <m/>
    <s v="W50"/>
    <n v="530"/>
    <n v="30"/>
    <n v="500"/>
    <n v="0"/>
    <n v="0"/>
    <n v="500"/>
    <n v="588"/>
    <n v="9"/>
    <n v="0.75"/>
    <n v="667"/>
    <m/>
    <n v="735"/>
    <m/>
    <n v="3"/>
    <n v="735"/>
    <n v="1"/>
    <n v="2450"/>
    <n v="2450"/>
    <n v="9"/>
    <x v="8"/>
    <n v="735"/>
  </r>
  <r>
    <x v="0"/>
    <s v="Long"/>
    <s v="Taunton Hamilton Long"/>
    <s v="Brian Pearson"/>
    <s v="Brian Pearson Long"/>
    <s v="QO"/>
    <n v="57"/>
    <n v="39"/>
    <d v="1899-12-30T00:57:39"/>
    <n v="4.0034722222222222E-2"/>
    <n v="1"/>
    <n v="57.65"/>
    <m/>
    <s v="M60"/>
    <n v="690"/>
    <n v="240"/>
    <n v="450"/>
    <n v="0"/>
    <n v="0"/>
    <n v="450"/>
    <n v="529"/>
    <n v="10"/>
    <n v="0.76"/>
    <n v="592"/>
    <m/>
    <n v="652"/>
    <m/>
    <n v="2"/>
    <n v="652"/>
    <n v="1"/>
    <n v="1359"/>
    <n v="1359"/>
    <n v="10"/>
    <x v="9"/>
    <n v="652"/>
  </r>
  <r>
    <x v="0"/>
    <s v="Long"/>
    <s v="Taunton Hamilton Long"/>
    <s v="Martin Lewis"/>
    <s v="Martin Lewis Long"/>
    <s v="QO"/>
    <n v="50"/>
    <n v="51"/>
    <d v="1899-12-30T00:50:51"/>
    <n v="3.5312500000000004E-2"/>
    <n v="1"/>
    <n v="50.850000000000009"/>
    <m/>
    <s v="M50"/>
    <n v="450"/>
    <n v="30"/>
    <n v="420"/>
    <n v="0"/>
    <n v="0"/>
    <n v="420"/>
    <n v="494"/>
    <n v="11"/>
    <n v="0.85"/>
    <n v="494"/>
    <m/>
    <n v="544"/>
    <m/>
    <n v="1"/>
    <n v="544"/>
    <n v="1"/>
    <n v="544"/>
    <n v="544"/>
    <n v="11"/>
    <x v="10"/>
    <n v="544"/>
  </r>
  <r>
    <x v="0"/>
    <s v="Long"/>
    <s v="Taunton Hamilton Long"/>
    <s v="Helen Kelsey"/>
    <s v="Helen Kelsey Long"/>
    <s v="BOK"/>
    <n v="56"/>
    <n v="42"/>
    <d v="1899-12-30T00:56:42"/>
    <n v="3.9375E-2"/>
    <n v="1"/>
    <n v="56.7"/>
    <m/>
    <s v="W60"/>
    <n v="530"/>
    <n v="210"/>
    <n v="320"/>
    <n v="0"/>
    <n v="0"/>
    <n v="320"/>
    <n v="376"/>
    <n v="12"/>
    <n v="0.66"/>
    <n v="485"/>
    <m/>
    <n v="534"/>
    <m/>
    <n v="1"/>
    <n v="534"/>
    <n v="1"/>
    <n v="534"/>
    <n v="534"/>
    <n v="12"/>
    <x v="11"/>
    <n v="534"/>
  </r>
  <r>
    <x v="0"/>
    <s v="Long"/>
    <s v="Taunton Hamilton Long"/>
    <s v="Robin Carter"/>
    <s v="Robin Carter Long"/>
    <s v="Devon"/>
    <n v="54"/>
    <n v="15"/>
    <d v="1899-12-30T00:54:15"/>
    <n v="3.7673611111111109E-2"/>
    <n v="1"/>
    <n v="54.249999999999993"/>
    <m/>
    <s v="W60"/>
    <n v="330"/>
    <n v="150"/>
    <n v="180"/>
    <n v="0"/>
    <n v="0"/>
    <n v="180"/>
    <n v="212"/>
    <n v="13"/>
    <n v="0.66"/>
    <n v="273"/>
    <m/>
    <n v="301"/>
    <m/>
    <n v="1"/>
    <n v="301"/>
    <n v="1"/>
    <n v="301"/>
    <n v="301"/>
    <n v="13"/>
    <x v="12"/>
    <n v="301"/>
  </r>
  <r>
    <x v="0"/>
    <s v="Long"/>
    <s v="Taunton Hamilton Long"/>
    <s v="Victoria Fieldhouse"/>
    <s v="Victoria Fieldhouse Long"/>
    <s v="Ind"/>
    <n v="55"/>
    <n v="36"/>
    <d v="1899-12-30T00:55:36"/>
    <n v="3.861111111111111E-2"/>
    <n v="1"/>
    <n v="55.6"/>
    <m/>
    <s v="W55"/>
    <n v="270"/>
    <n v="180"/>
    <n v="90"/>
    <n v="0"/>
    <n v="0"/>
    <n v="90"/>
    <n v="106"/>
    <n v="14"/>
    <n v="0.7"/>
    <n v="129"/>
    <m/>
    <n v="142"/>
    <m/>
    <n v="1"/>
    <s v=""/>
    <n v="1"/>
    <n v="0"/>
    <n v="0"/>
    <n v="14"/>
    <x v="13"/>
    <s v=""/>
  </r>
  <r>
    <x v="0"/>
    <s v="Short"/>
    <s v="Taunton Hamilton Short"/>
    <s v="Andy Rimes"/>
    <s v="Andy Rimes Short"/>
    <s v="QO"/>
    <n v="56"/>
    <n v="40"/>
    <d v="1899-12-30T00:56:40"/>
    <n v="3.9351851851851853E-2"/>
    <n v="1"/>
    <n v="56.666666666666664"/>
    <m/>
    <s v="M55"/>
    <n v="870"/>
    <n v="210"/>
    <n v="660"/>
    <n v="0"/>
    <n v="0"/>
    <n v="660"/>
    <n v="1000"/>
    <n v="1"/>
    <n v="0.82"/>
    <n v="805"/>
    <m/>
    <n v="1000"/>
    <m/>
    <n v="1"/>
    <n v="1000"/>
    <n v="1"/>
    <n v="2857"/>
    <n v="2857"/>
    <n v="1"/>
    <x v="14"/>
    <n v="1000"/>
  </r>
  <r>
    <x v="0"/>
    <s v="Short"/>
    <s v="Taunton Hamilton Short"/>
    <s v="Mark Maynard"/>
    <s v="Mark Maynard Short"/>
    <s v="QO"/>
    <n v="49"/>
    <n v="44"/>
    <d v="1899-12-30T00:49:44"/>
    <n v="3.453703703703704E-2"/>
    <n v="1"/>
    <n v="49.733333333333341"/>
    <m/>
    <s v="M50"/>
    <n v="650"/>
    <n v="0"/>
    <n v="650"/>
    <n v="0"/>
    <n v="0"/>
    <n v="650"/>
    <n v="985"/>
    <n v="2"/>
    <n v="0.85"/>
    <n v="765"/>
    <m/>
    <n v="950"/>
    <m/>
    <n v="1"/>
    <n v="950"/>
    <n v="1"/>
    <n v="1611"/>
    <n v="1611"/>
    <n v="3"/>
    <x v="15"/>
    <n v="950"/>
  </r>
  <r>
    <x v="0"/>
    <s v="Short"/>
    <s v="Taunton Hamilton Short"/>
    <s v="Lucy Bussell"/>
    <s v="Lucy Bussell Short"/>
    <s v="QO"/>
    <n v="51"/>
    <n v="18"/>
    <d v="1899-12-30T00:51:18"/>
    <n v="3.5624999999999997E-2"/>
    <n v="1"/>
    <n v="51.3"/>
    <m/>
    <s v="W16"/>
    <n v="630"/>
    <n v="60"/>
    <n v="570"/>
    <n v="0"/>
    <n v="0"/>
    <n v="570"/>
    <n v="864"/>
    <n v="3"/>
    <n v="0.84"/>
    <n v="679"/>
    <m/>
    <n v="843"/>
    <m/>
    <n v="1"/>
    <n v="843"/>
    <n v="1"/>
    <n v="843"/>
    <n v="843"/>
    <n v="5"/>
    <x v="16"/>
    <n v="843"/>
  </r>
  <r>
    <x v="0"/>
    <s v="Short"/>
    <s v="Taunton Hamilton Short"/>
    <s v="Ray Toomer"/>
    <s v="Ray Toomer Short"/>
    <s v="QO"/>
    <n v="55"/>
    <n v="7"/>
    <d v="1899-12-30T00:55:07"/>
    <n v="3.8275462962962963E-2"/>
    <n v="1"/>
    <n v="55.11666666666666"/>
    <m/>
    <s v="M65"/>
    <n v="670"/>
    <n v="180"/>
    <n v="490"/>
    <n v="0"/>
    <n v="0"/>
    <n v="490"/>
    <n v="742"/>
    <n v="4"/>
    <n v="0.7"/>
    <n v="700"/>
    <m/>
    <n v="870"/>
    <m/>
    <n v="4"/>
    <s v=""/>
    <n v="1"/>
    <n v="3000"/>
    <n v="3000"/>
    <n v="4"/>
    <x v="17"/>
    <s v=""/>
  </r>
  <r>
    <x v="0"/>
    <s v="Short"/>
    <s v="Taunton Hamilton Short"/>
    <s v="Rosie Wych"/>
    <s v="Rosie Wych Short"/>
    <s v="QO"/>
    <n v="52"/>
    <n v="34"/>
    <d v="1899-12-30T00:52:34"/>
    <n v="3.650462962962963E-2"/>
    <n v="1"/>
    <n v="52.566666666666663"/>
    <m/>
    <s v="W65"/>
    <n v="560"/>
    <n v="90"/>
    <n v="470"/>
    <n v="0"/>
    <n v="0"/>
    <n v="470"/>
    <n v="712"/>
    <n v="5"/>
    <n v="0.61"/>
    <n v="770"/>
    <m/>
    <n v="957"/>
    <m/>
    <n v="3"/>
    <n v="957"/>
    <n v="1"/>
    <n v="2892"/>
    <n v="2892"/>
    <n v="2"/>
    <x v="18"/>
    <n v="957"/>
  </r>
  <r>
    <x v="0"/>
    <s v="Short"/>
    <s v="Taunton Hamilton Short"/>
    <s v="Sue Toomer"/>
    <s v="Sue Toomer Short"/>
    <s v="QO"/>
    <n v="53"/>
    <n v="49"/>
    <d v="1899-12-30T00:53:49"/>
    <n v="3.7372685185185189E-2"/>
    <n v="1"/>
    <n v="53.81666666666667"/>
    <m/>
    <s v="W65"/>
    <n v="370"/>
    <n v="120"/>
    <n v="250"/>
    <n v="0"/>
    <n v="0"/>
    <n v="250"/>
    <n v="379"/>
    <n v="6"/>
    <n v="0.61"/>
    <n v="410"/>
    <m/>
    <n v="509"/>
    <m/>
    <n v="1"/>
    <n v="509"/>
    <n v="1"/>
    <n v="509"/>
    <n v="509"/>
    <n v="7"/>
    <x v="19"/>
    <n v="509"/>
  </r>
  <r>
    <x v="0"/>
    <s v="Short"/>
    <s v="Taunton Hamilton Short"/>
    <s v="Sarah Hasler"/>
    <s v="Sarah Hasler Short"/>
    <s v="QO"/>
    <n v="56"/>
    <n v="44"/>
    <d v="1899-12-30T00:56:44"/>
    <n v="3.9398148148148147E-2"/>
    <n v="1"/>
    <n v="56.733333333333327"/>
    <m/>
    <s v="W55"/>
    <n v="430"/>
    <n v="210"/>
    <n v="220"/>
    <n v="0"/>
    <n v="0"/>
    <n v="220"/>
    <n v="333"/>
    <n v="7"/>
    <n v="0.7"/>
    <n v="314"/>
    <m/>
    <n v="390"/>
    <m/>
    <n v="4"/>
    <s v=""/>
    <n v="1"/>
    <n v="1850"/>
    <n v="1850"/>
    <n v="8"/>
    <x v="20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x v="0"/>
    <x v="0"/>
    <s v="Taunton Hamilton Long"/>
    <s v="Ollie Rant"/>
    <s v="Ollie Rant Long"/>
    <s v="QO"/>
    <n v="49"/>
    <n v="30"/>
    <d v="1899-12-30T00:49:30"/>
    <n v="3.4374999999999996E-2"/>
    <n v="1"/>
    <n v="49.5"/>
    <m/>
    <s v="M21"/>
    <n v="850"/>
    <m/>
    <n v="850"/>
    <n v="0"/>
    <n v="0"/>
    <n v="850"/>
    <n v="1000"/>
    <n v="1"/>
    <n v="1"/>
    <n v="850"/>
    <m/>
    <n v="936"/>
    <m/>
    <n v="3"/>
    <n v="936"/>
    <n v="1"/>
    <n v="2858"/>
    <n v="2858"/>
    <n v="2"/>
    <x v="0"/>
    <n v="936"/>
  </r>
  <r>
    <x v="0"/>
    <x v="0"/>
    <s v="Taunton Hamilton Long"/>
    <s v="Adam 'Tango' Holland"/>
    <s v="Adam 'Tango' Holland Long"/>
    <s v="Ind"/>
    <n v="49"/>
    <n v="56"/>
    <d v="1899-12-30T00:49:56"/>
    <n v="3.4675925925925923E-2"/>
    <n v="1"/>
    <n v="49.93333333333333"/>
    <m/>
    <s v="M30"/>
    <n v="740"/>
    <m/>
    <n v="740"/>
    <n v="0"/>
    <n v="0"/>
    <n v="740"/>
    <n v="871"/>
    <n v="2"/>
    <n v="0.99"/>
    <n v="747"/>
    <m/>
    <n v="823"/>
    <m/>
    <n v="2"/>
    <s v=""/>
    <n v="1"/>
    <n v="0"/>
    <n v="0"/>
    <n v="4"/>
    <x v="1"/>
    <s v=""/>
  </r>
  <r>
    <x v="0"/>
    <x v="0"/>
    <s v="Taunton Hamilton Long"/>
    <s v="Robin Fieldhouse"/>
    <s v="Robin Fieldhouse Long"/>
    <s v="QO"/>
    <n v="52"/>
    <n v="14"/>
    <d v="1899-12-30T00:52:14"/>
    <n v="3.6273148148148145E-2"/>
    <n v="1"/>
    <n v="52.233333333333334"/>
    <m/>
    <s v="M21"/>
    <n v="800"/>
    <n v="90"/>
    <n v="710"/>
    <n v="0"/>
    <n v="0"/>
    <n v="710"/>
    <n v="835"/>
    <n v="3"/>
    <n v="1"/>
    <n v="710"/>
    <m/>
    <n v="782"/>
    <m/>
    <n v="3"/>
    <n v="782"/>
    <n v="1"/>
    <n v="2600"/>
    <n v="2600"/>
    <n v="7"/>
    <x v="2"/>
    <n v="782"/>
  </r>
  <r>
    <x v="0"/>
    <x v="0"/>
    <s v="Taunton Hamilton Long"/>
    <s v="Chris Kelsey"/>
    <s v="Chris Kelsey Long"/>
    <s v="BOK"/>
    <n v="50"/>
    <n v="34"/>
    <d v="1899-12-30T00:50:34"/>
    <n v="3.5115740740740746E-2"/>
    <n v="1"/>
    <n v="50.56666666666667"/>
    <m/>
    <s v="M60"/>
    <n v="720"/>
    <n v="30"/>
    <n v="690"/>
    <n v="0"/>
    <n v="0"/>
    <n v="690"/>
    <n v="812"/>
    <n v="4"/>
    <n v="0.76"/>
    <n v="908"/>
    <m/>
    <n v="1000"/>
    <m/>
    <n v="1"/>
    <n v="1000"/>
    <n v="1"/>
    <n v="1000"/>
    <n v="1000"/>
    <n v="1"/>
    <x v="3"/>
    <n v="1000"/>
  </r>
  <r>
    <x v="0"/>
    <x v="0"/>
    <s v="Taunton Hamilton Long"/>
    <s v="Graham Hartley"/>
    <s v="Graham Hartley Long"/>
    <s v="QO"/>
    <n v="50"/>
    <n v="46"/>
    <d v="1899-12-30T00:50:46"/>
    <n v="3.5254629629629629E-2"/>
    <n v="1"/>
    <n v="50.766666666666666"/>
    <m/>
    <s v="M55"/>
    <n v="700"/>
    <n v="30"/>
    <n v="670"/>
    <n v="0"/>
    <n v="0"/>
    <n v="670"/>
    <n v="788"/>
    <n v="5"/>
    <n v="0.82"/>
    <n v="817"/>
    <m/>
    <n v="900"/>
    <m/>
    <n v="1"/>
    <n v="900"/>
    <n v="1"/>
    <n v="900"/>
    <n v="900"/>
    <n v="3"/>
    <x v="4"/>
    <n v="900"/>
  </r>
  <r>
    <x v="0"/>
    <x v="0"/>
    <s v="Taunton Hamilton Long"/>
    <s v="Andy Bussell"/>
    <s v="Andy Bussell Long"/>
    <s v="QO"/>
    <n v="53"/>
    <n v="56"/>
    <d v="1899-12-30T00:53:56"/>
    <n v="3.7453703703703704E-2"/>
    <n v="1"/>
    <n v="53.93333333333333"/>
    <m/>
    <s v="M45"/>
    <n v="760"/>
    <n v="120"/>
    <n v="640"/>
    <n v="0"/>
    <n v="0"/>
    <n v="640"/>
    <n v="753"/>
    <n v="6"/>
    <n v="0.89"/>
    <n v="719"/>
    <m/>
    <n v="792"/>
    <m/>
    <n v="3"/>
    <n v="792"/>
    <n v="1"/>
    <n v="2477"/>
    <n v="2477"/>
    <n v="6"/>
    <x v="5"/>
    <n v="792"/>
  </r>
  <r>
    <x v="0"/>
    <x v="0"/>
    <s v="Taunton Hamilton Long"/>
    <s v="Pete Shirvington"/>
    <s v="Pete Shirvington Long"/>
    <s v="QO"/>
    <n v="54"/>
    <n v="17"/>
    <d v="1899-12-30T00:54:17"/>
    <n v="3.7696759259259256E-2"/>
    <n v="1"/>
    <n v="54.283333333333331"/>
    <m/>
    <s v="M45"/>
    <n v="770"/>
    <n v="150"/>
    <n v="620"/>
    <n v="0"/>
    <n v="0"/>
    <n v="620"/>
    <n v="729"/>
    <n v="7"/>
    <n v="0.89"/>
    <n v="697"/>
    <m/>
    <n v="768"/>
    <m/>
    <n v="1"/>
    <n v="768"/>
    <n v="1"/>
    <n v="1514"/>
    <n v="1514"/>
    <n v="8"/>
    <x v="6"/>
    <n v="768"/>
  </r>
  <r>
    <x v="0"/>
    <x v="0"/>
    <s v="Taunton Hamilton Long"/>
    <s v="Simon St Leger-Harris"/>
    <s v="Simon St Leger-Harris Long"/>
    <s v="QO"/>
    <n v="52"/>
    <n v="6"/>
    <d v="1899-12-30T00:52:06"/>
    <n v="3.6180555555555556E-2"/>
    <n v="1"/>
    <n v="52.1"/>
    <m/>
    <s v="M65"/>
    <n v="610"/>
    <n v="90"/>
    <n v="520"/>
    <n v="0"/>
    <n v="0"/>
    <n v="520"/>
    <n v="612"/>
    <n v="8"/>
    <n v="0.7"/>
    <n v="743"/>
    <m/>
    <n v="818"/>
    <m/>
    <n v="2"/>
    <n v="818"/>
    <n v="1"/>
    <n v="2425"/>
    <n v="2425"/>
    <n v="5"/>
    <x v="7"/>
    <n v="818"/>
  </r>
  <r>
    <x v="0"/>
    <x v="0"/>
    <s v="Taunton Hamilton Long"/>
    <s v="Miffy Treherne"/>
    <s v="Miffy Treherne Long"/>
    <s v="QO"/>
    <n v="50"/>
    <n v="1"/>
    <d v="1899-12-30T00:50:01"/>
    <n v="3.4733796296296297E-2"/>
    <n v="1"/>
    <n v="50.016666666666666"/>
    <m/>
    <s v="W50"/>
    <n v="530"/>
    <n v="30"/>
    <n v="500"/>
    <n v="0"/>
    <n v="0"/>
    <n v="500"/>
    <n v="588"/>
    <n v="9"/>
    <n v="0.75"/>
    <n v="667"/>
    <m/>
    <n v="735"/>
    <m/>
    <n v="4"/>
    <s v=""/>
    <n v="1"/>
    <n v="2548"/>
    <n v="2548"/>
    <n v="9"/>
    <x v="8"/>
    <s v=""/>
  </r>
  <r>
    <x v="0"/>
    <x v="0"/>
    <s v="Taunton Hamilton Long"/>
    <s v="Brian Pearson"/>
    <s v="Brian Pearson Long"/>
    <s v="QO"/>
    <n v="57"/>
    <n v="39"/>
    <d v="1899-12-30T00:57:39"/>
    <n v="4.0034722222222222E-2"/>
    <n v="1"/>
    <n v="57.65"/>
    <m/>
    <s v="M60"/>
    <n v="690"/>
    <n v="240"/>
    <n v="450"/>
    <n v="0"/>
    <n v="0"/>
    <n v="450"/>
    <n v="529"/>
    <n v="10"/>
    <n v="0.76"/>
    <n v="592"/>
    <m/>
    <n v="652"/>
    <m/>
    <n v="3"/>
    <n v="652"/>
    <n v="1"/>
    <n v="2039"/>
    <n v="2039"/>
    <n v="10"/>
    <x v="9"/>
    <n v="652"/>
  </r>
  <r>
    <x v="0"/>
    <x v="0"/>
    <s v="Taunton Hamilton Long"/>
    <s v="Martin Lewis"/>
    <s v="Martin Lewis Long"/>
    <s v="QO"/>
    <n v="50"/>
    <n v="51"/>
    <d v="1899-12-30T00:50:51"/>
    <n v="3.5312500000000004E-2"/>
    <n v="1"/>
    <n v="50.850000000000009"/>
    <m/>
    <s v="M50"/>
    <n v="450"/>
    <n v="30"/>
    <n v="420"/>
    <n v="0"/>
    <n v="0"/>
    <n v="420"/>
    <n v="494"/>
    <n v="11"/>
    <n v="0.85"/>
    <n v="494"/>
    <m/>
    <n v="544"/>
    <m/>
    <n v="2"/>
    <n v="544"/>
    <n v="1"/>
    <n v="1316"/>
    <n v="1316"/>
    <n v="11"/>
    <x v="10"/>
    <n v="544"/>
  </r>
  <r>
    <x v="0"/>
    <x v="0"/>
    <s v="Taunton Hamilton Long"/>
    <s v="Helen Kelsey"/>
    <s v="Helen Kelsey Long"/>
    <s v="BOK"/>
    <n v="56"/>
    <n v="42"/>
    <d v="1899-12-30T00:56:42"/>
    <n v="3.9375E-2"/>
    <n v="1"/>
    <n v="56.7"/>
    <m/>
    <s v="W60"/>
    <n v="530"/>
    <n v="210"/>
    <n v="320"/>
    <n v="0"/>
    <n v="0"/>
    <n v="320"/>
    <n v="376"/>
    <n v="12"/>
    <n v="0.66"/>
    <n v="485"/>
    <m/>
    <n v="534"/>
    <m/>
    <n v="1"/>
    <n v="534"/>
    <n v="1"/>
    <n v="534"/>
    <n v="534"/>
    <n v="12"/>
    <x v="11"/>
    <n v="534"/>
  </r>
  <r>
    <x v="0"/>
    <x v="0"/>
    <s v="Taunton Hamilton Long"/>
    <s v="Robin Carter"/>
    <s v="Robin Carter Long"/>
    <s v="Devon"/>
    <n v="54"/>
    <n v="15"/>
    <d v="1899-12-30T00:54:15"/>
    <n v="3.7673611111111109E-2"/>
    <n v="1"/>
    <n v="54.249999999999993"/>
    <m/>
    <s v="W60"/>
    <n v="330"/>
    <n v="150"/>
    <n v="180"/>
    <n v="0"/>
    <n v="0"/>
    <n v="180"/>
    <n v="212"/>
    <n v="13"/>
    <n v="0.66"/>
    <n v="273"/>
    <m/>
    <n v="301"/>
    <m/>
    <n v="1"/>
    <n v="301"/>
    <n v="1"/>
    <n v="301"/>
    <n v="301"/>
    <n v="13"/>
    <x v="12"/>
    <n v="301"/>
  </r>
  <r>
    <x v="0"/>
    <x v="0"/>
    <s v="Taunton Hamilton Long"/>
    <s v="Victoria Fieldhouse"/>
    <s v="Victoria Fieldhouse Long"/>
    <s v="Ind"/>
    <n v="55"/>
    <n v="36"/>
    <d v="1899-12-30T00:55:36"/>
    <n v="3.861111111111111E-2"/>
    <n v="1"/>
    <n v="55.6"/>
    <m/>
    <s v="W55"/>
    <n v="270"/>
    <n v="180"/>
    <n v="90"/>
    <n v="0"/>
    <n v="0"/>
    <n v="90"/>
    <n v="106"/>
    <n v="14"/>
    <n v="0.7"/>
    <n v="129"/>
    <m/>
    <n v="142"/>
    <m/>
    <n v="1"/>
    <s v=""/>
    <n v="1"/>
    <n v="0"/>
    <n v="0"/>
    <n v="14"/>
    <x v="13"/>
    <s v=""/>
  </r>
  <r>
    <x v="0"/>
    <x v="1"/>
    <s v="Taunton Hamilton Short"/>
    <s v="Andy Rimes"/>
    <s v="Andy Rimes Short"/>
    <s v="QO"/>
    <n v="56"/>
    <n v="40"/>
    <d v="1899-12-30T00:56:40"/>
    <n v="3.9351851851851853E-2"/>
    <n v="1"/>
    <n v="56.666666666666664"/>
    <m/>
    <s v="M55"/>
    <n v="870"/>
    <n v="210"/>
    <n v="660"/>
    <n v="0"/>
    <n v="0"/>
    <n v="660"/>
    <n v="1000"/>
    <n v="1"/>
    <n v="0.82"/>
    <n v="805"/>
    <m/>
    <n v="1000"/>
    <m/>
    <n v="1"/>
    <n v="1000"/>
    <n v="1"/>
    <n v="2836"/>
    <n v="2836"/>
    <n v="1"/>
    <x v="14"/>
    <n v="1000"/>
  </r>
  <r>
    <x v="0"/>
    <x v="1"/>
    <s v="Taunton Hamilton Short"/>
    <s v="Mark Maynard"/>
    <s v="Mark Maynard Short"/>
    <s v="QO"/>
    <n v="49"/>
    <n v="44"/>
    <d v="1899-12-30T00:49:44"/>
    <n v="3.453703703703704E-2"/>
    <n v="1"/>
    <n v="49.733333333333341"/>
    <m/>
    <s v="M50"/>
    <n v="650"/>
    <n v="0"/>
    <n v="650"/>
    <n v="0"/>
    <n v="0"/>
    <n v="650"/>
    <n v="985"/>
    <n v="2"/>
    <n v="0.85"/>
    <n v="765"/>
    <m/>
    <n v="950"/>
    <m/>
    <n v="1"/>
    <n v="950"/>
    <n v="1"/>
    <n v="1611"/>
    <n v="1611"/>
    <n v="3"/>
    <x v="15"/>
    <n v="950"/>
  </r>
  <r>
    <x v="0"/>
    <x v="1"/>
    <s v="Taunton Hamilton Short"/>
    <s v="Lucy Bussell"/>
    <s v="Lucy Bussell Short"/>
    <s v="QO"/>
    <n v="51"/>
    <n v="18"/>
    <d v="1899-12-30T00:51:18"/>
    <n v="3.5624999999999997E-2"/>
    <n v="1"/>
    <n v="51.3"/>
    <m/>
    <s v="W16"/>
    <n v="630"/>
    <n v="60"/>
    <n v="570"/>
    <n v="0"/>
    <n v="0"/>
    <n v="570"/>
    <n v="864"/>
    <n v="3"/>
    <n v="0.84"/>
    <n v="679"/>
    <m/>
    <n v="843"/>
    <m/>
    <n v="1"/>
    <n v="843"/>
    <n v="1"/>
    <n v="843"/>
    <n v="843"/>
    <n v="5"/>
    <x v="16"/>
    <n v="843"/>
  </r>
  <r>
    <x v="0"/>
    <x v="1"/>
    <s v="Taunton Hamilton Short"/>
    <s v="Ray Toomer"/>
    <s v="Ray Toomer Short"/>
    <s v="QO"/>
    <n v="55"/>
    <n v="7"/>
    <d v="1899-12-30T00:55:07"/>
    <n v="3.8275462962962963E-2"/>
    <n v="1"/>
    <n v="55.11666666666666"/>
    <m/>
    <s v="M65"/>
    <n v="670"/>
    <n v="180"/>
    <n v="490"/>
    <n v="0"/>
    <n v="0"/>
    <n v="490"/>
    <n v="742"/>
    <n v="4"/>
    <n v="0.7"/>
    <n v="700"/>
    <m/>
    <n v="870"/>
    <m/>
    <n v="5"/>
    <s v=""/>
    <n v="1"/>
    <n v="3000"/>
    <n v="3000"/>
    <n v="4"/>
    <x v="17"/>
    <s v=""/>
  </r>
  <r>
    <x v="0"/>
    <x v="1"/>
    <s v="Taunton Hamilton Short"/>
    <s v="Rosie Wych"/>
    <s v="Rosie Wych Short"/>
    <s v="QO"/>
    <n v="52"/>
    <n v="34"/>
    <d v="1899-12-30T00:52:34"/>
    <n v="3.650462962962963E-2"/>
    <n v="1"/>
    <n v="52.566666666666663"/>
    <m/>
    <s v="W65"/>
    <n v="560"/>
    <n v="90"/>
    <n v="470"/>
    <n v="0"/>
    <n v="0"/>
    <n v="470"/>
    <n v="712"/>
    <n v="5"/>
    <n v="0.61"/>
    <n v="770"/>
    <m/>
    <n v="957"/>
    <m/>
    <n v="4"/>
    <s v=""/>
    <n v="1"/>
    <n v="2923"/>
    <n v="2923"/>
    <n v="2"/>
    <x v="18"/>
    <s v=""/>
  </r>
  <r>
    <x v="0"/>
    <x v="1"/>
    <s v="Taunton Hamilton Short"/>
    <s v="Sue Toomer"/>
    <s v="Sue Toomer Short"/>
    <s v="QO"/>
    <n v="53"/>
    <n v="49"/>
    <d v="1899-12-30T00:53:49"/>
    <n v="3.7372685185185189E-2"/>
    <n v="1"/>
    <n v="53.81666666666667"/>
    <m/>
    <s v="W65"/>
    <n v="370"/>
    <n v="120"/>
    <n v="250"/>
    <n v="0"/>
    <n v="0"/>
    <n v="250"/>
    <n v="379"/>
    <n v="6"/>
    <n v="0.61"/>
    <n v="410"/>
    <m/>
    <n v="509"/>
    <m/>
    <n v="1"/>
    <n v="509"/>
    <n v="1"/>
    <n v="509"/>
    <n v="509"/>
    <n v="7"/>
    <x v="19"/>
    <n v="509"/>
  </r>
  <r>
    <x v="0"/>
    <x v="1"/>
    <s v="Taunton Hamilton Short"/>
    <s v="Sarah Hasler"/>
    <s v="Sarah Hasler Short"/>
    <s v="QO"/>
    <n v="56"/>
    <n v="44"/>
    <d v="1899-12-30T00:56:44"/>
    <n v="3.9398148148148147E-2"/>
    <n v="1"/>
    <n v="56.733333333333327"/>
    <m/>
    <s v="W55"/>
    <n v="430"/>
    <n v="210"/>
    <n v="220"/>
    <n v="0"/>
    <n v="0"/>
    <n v="220"/>
    <n v="333"/>
    <n v="7"/>
    <n v="0.7"/>
    <n v="314"/>
    <m/>
    <n v="390"/>
    <m/>
    <n v="4"/>
    <s v=""/>
    <n v="1"/>
    <n v="1850"/>
    <n v="1850"/>
    <n v="8"/>
    <x v="20"/>
    <s v=""/>
  </r>
  <r>
    <x v="0"/>
    <x v="1"/>
    <s v="Taunton Hamilton Short"/>
    <s v="Alasdair Shaw"/>
    <s v="Alasdair Shaw Short"/>
    <s v="QO"/>
    <m/>
    <m/>
    <s v=""/>
    <s v=""/>
    <n v="1.6666666666666666E-2"/>
    <e v="#VALUE!"/>
    <m/>
    <s v="M40"/>
    <m/>
    <m/>
    <n v="0"/>
    <n v="0"/>
    <n v="0"/>
    <n v="0"/>
    <n v="0"/>
    <n v="8"/>
    <n v="0.93"/>
    <n v="0"/>
    <n v="775"/>
    <n v="775"/>
    <m/>
    <n v="3"/>
    <n v="775"/>
    <n v="1"/>
    <n v="2495"/>
    <n v="2495"/>
    <n v="6"/>
    <x v="21"/>
    <n v="775"/>
  </r>
  <r>
    <x v="1"/>
    <x v="0"/>
    <s v="Tiverton Long"/>
    <s v="Adam Fieldhouse"/>
    <s v="Adam Fieldhouse Long"/>
    <s v="QO"/>
    <n v="49"/>
    <n v="29"/>
    <d v="1899-12-30T00:49:29"/>
    <n v="3.4363425925925929E-2"/>
    <n v="1"/>
    <n v="49.483333333333341"/>
    <m/>
    <s v="M21"/>
    <n v="940"/>
    <n v="0"/>
    <n v="940"/>
    <n v="0"/>
    <n v="0"/>
    <n v="940"/>
    <n v="1000"/>
    <n v="1"/>
    <n v="1"/>
    <n v="940"/>
    <m/>
    <n v="888"/>
    <m/>
    <n v="2"/>
    <n v="888"/>
    <n v="1"/>
    <n v="2719"/>
    <n v="2719"/>
    <n v="2"/>
    <x v="22"/>
    <n v="888"/>
  </r>
  <r>
    <x v="1"/>
    <x v="0"/>
    <s v="Tiverton Long"/>
    <s v="Spencer Modica"/>
    <s v="Spencer Modica Long"/>
    <s v="Devon"/>
    <n v="47"/>
    <n v="39"/>
    <d v="1899-12-30T00:47:39"/>
    <n v="3.3090277777777781E-2"/>
    <n v="1"/>
    <n v="47.65"/>
    <m/>
    <s v="M50"/>
    <n v="900"/>
    <n v="0"/>
    <n v="900"/>
    <n v="0"/>
    <n v="0"/>
    <n v="900"/>
    <n v="957"/>
    <n v="2"/>
    <n v="0.85"/>
    <n v="1059"/>
    <m/>
    <n v="1000"/>
    <m/>
    <n v="1"/>
    <n v="1000"/>
    <n v="1"/>
    <n v="1000"/>
    <n v="1000"/>
    <n v="1"/>
    <x v="23"/>
    <n v="1000"/>
  </r>
  <r>
    <x v="1"/>
    <x v="0"/>
    <s v="Tiverton Long"/>
    <s v="Ollie Rant"/>
    <s v="Ollie Rant Long"/>
    <s v="QO"/>
    <n v="50"/>
    <n v="20"/>
    <d v="1899-12-30T00:50:20"/>
    <n v="3.4953703703703702E-2"/>
    <n v="1"/>
    <n v="50.333333333333329"/>
    <m/>
    <s v="M21"/>
    <n v="880"/>
    <n v="0"/>
    <n v="880"/>
    <n v="0"/>
    <n v="0"/>
    <n v="880"/>
    <n v="936"/>
    <n v="3"/>
    <n v="1"/>
    <n v="880"/>
    <m/>
    <n v="831"/>
    <m/>
    <n v="4"/>
    <s v=""/>
    <n v="2"/>
    <n v="2858"/>
    <n v="0"/>
    <n v="4"/>
    <x v="0"/>
    <s v=""/>
  </r>
  <r>
    <x v="1"/>
    <x v="0"/>
    <s v="Tiverton Long"/>
    <s v="Robin Fieldhouse"/>
    <s v="Robin Fieldhouse Long"/>
    <s v="QO"/>
    <n v="50"/>
    <n v="40"/>
    <d v="1899-12-30T00:50:40"/>
    <n v="3.5185185185185187E-2"/>
    <n v="1"/>
    <n v="50.666666666666671"/>
    <m/>
    <s v="M21"/>
    <n v="850"/>
    <n v="30"/>
    <n v="820"/>
    <n v="0"/>
    <n v="0"/>
    <n v="820"/>
    <n v="872"/>
    <n v="4"/>
    <n v="1"/>
    <n v="820"/>
    <m/>
    <n v="774"/>
    <m/>
    <n v="4"/>
    <s v=""/>
    <n v="2"/>
    <n v="2600"/>
    <n v="0"/>
    <n v="6"/>
    <x v="2"/>
    <s v=""/>
  </r>
  <r>
    <x v="1"/>
    <x v="0"/>
    <s v="Tiverton Long"/>
    <s v="Angela Modica"/>
    <s v="Angela Modica Long"/>
    <s v="QO"/>
    <n v="48"/>
    <n v="5"/>
    <d v="1899-12-30T00:48:05"/>
    <n v="3.3391203703703708E-2"/>
    <n v="1"/>
    <n v="48.083333333333336"/>
    <m/>
    <s v="W45"/>
    <n v="740"/>
    <n v="0"/>
    <n v="740"/>
    <n v="0"/>
    <n v="0"/>
    <n v="740"/>
    <n v="787"/>
    <n v="5"/>
    <n v="0.79"/>
    <n v="937"/>
    <m/>
    <n v="885"/>
    <m/>
    <n v="1"/>
    <n v="885"/>
    <n v="1"/>
    <n v="885"/>
    <n v="885"/>
    <n v="3"/>
    <x v="24"/>
    <n v="885"/>
  </r>
  <r>
    <x v="1"/>
    <x v="0"/>
    <s v="Tiverton Long"/>
    <s v="Elliot Smith"/>
    <s v="Elliot Smith Long"/>
    <s v="Ind"/>
    <n v="44"/>
    <n v="54"/>
    <d v="1899-12-30T00:44:54"/>
    <n v="3.1180555555555555E-2"/>
    <n v="1"/>
    <n v="44.9"/>
    <m/>
    <s v="M20"/>
    <n v="610"/>
    <n v="0"/>
    <n v="610"/>
    <n v="0"/>
    <n v="0"/>
    <n v="610"/>
    <n v="649"/>
    <n v="6"/>
    <n v="0.98"/>
    <n v="622"/>
    <m/>
    <n v="587"/>
    <m/>
    <n v="1"/>
    <s v=""/>
    <n v="1"/>
    <n v="0"/>
    <n v="0"/>
    <n v="8"/>
    <x v="25"/>
    <s v=""/>
  </r>
  <r>
    <x v="1"/>
    <x v="0"/>
    <s v="Tiverton Long"/>
    <s v="Thomas Hasler"/>
    <s v="Thomas Hasler Long"/>
    <s v="QO"/>
    <n v="56"/>
    <n v="13"/>
    <d v="1899-12-30T00:56:13"/>
    <n v="3.9039351851851853E-2"/>
    <n v="1"/>
    <n v="56.216666666666669"/>
    <s v="M20"/>
    <s v="M18"/>
    <n v="710"/>
    <n v="210"/>
    <n v="500"/>
    <n v="0"/>
    <n v="0"/>
    <n v="500"/>
    <n v="532"/>
    <n v="7"/>
    <n v="0.96"/>
    <n v="521"/>
    <m/>
    <n v="492"/>
    <m/>
    <n v="1"/>
    <n v="492"/>
    <n v="1"/>
    <n v="984"/>
    <n v="984"/>
    <n v="9"/>
    <x v="26"/>
    <n v="492"/>
  </r>
  <r>
    <x v="1"/>
    <x v="0"/>
    <s v="Tiverton Long"/>
    <s v="Stephen Lysaczenko"/>
    <s v="Stephen Lysaczenko Long"/>
    <s v="QO"/>
    <n v="54"/>
    <n v="32"/>
    <d v="1899-12-30T00:54:32"/>
    <n v="3.7870370370370367E-2"/>
    <n v="1"/>
    <n v="54.533333333333331"/>
    <m/>
    <s v="M55"/>
    <n v="500"/>
    <n v="150"/>
    <n v="350"/>
    <n v="0"/>
    <n v="0"/>
    <n v="350"/>
    <n v="372"/>
    <n v="9"/>
    <n v="0.82"/>
    <n v="427"/>
    <m/>
    <n v="403"/>
    <m/>
    <n v="2"/>
    <n v="403"/>
    <n v="1"/>
    <n v="1507"/>
    <n v="1507"/>
    <n v="11"/>
    <x v="27"/>
    <n v="403"/>
  </r>
  <r>
    <x v="1"/>
    <x v="0"/>
    <s v="Tiverton Long"/>
    <s v="Chris Philip"/>
    <s v="Chris Philip Long"/>
    <s v="QO"/>
    <n v="54"/>
    <n v="32"/>
    <d v="1899-12-30T00:54:32"/>
    <n v="3.7870370370370367E-2"/>
    <n v="1"/>
    <n v="54.533333333333331"/>
    <m/>
    <s v="M65"/>
    <n v="540"/>
    <n v="180"/>
    <n v="360"/>
    <n v="0"/>
    <n v="0"/>
    <n v="360"/>
    <n v="383"/>
    <n v="8"/>
    <n v="0.7"/>
    <n v="514"/>
    <m/>
    <n v="485"/>
    <m/>
    <n v="4"/>
    <s v=""/>
    <n v="1"/>
    <n v="2863"/>
    <n v="2863"/>
    <n v="10"/>
    <x v="28"/>
    <s v=""/>
  </r>
  <r>
    <x v="1"/>
    <x v="0"/>
    <s v="Tiverton Long"/>
    <s v="Simon St Leger-Harris"/>
    <s v="Simon St Leger-Harris Long"/>
    <s v="QO"/>
    <m/>
    <m/>
    <s v=""/>
    <s v=""/>
    <n v="1.6666666666666666E-2"/>
    <e v="#VALUE!"/>
    <m/>
    <s v="M65"/>
    <m/>
    <m/>
    <n v="0"/>
    <n v="0"/>
    <n v="0"/>
    <n v="0"/>
    <n v="0"/>
    <n v="10"/>
    <n v="0.7"/>
    <n v="0"/>
    <n v="744"/>
    <n v="744"/>
    <m/>
    <n v="3"/>
    <n v="744"/>
    <n v="2"/>
    <n v="2425"/>
    <n v="0"/>
    <n v="7"/>
    <x v="7"/>
    <n v="744"/>
  </r>
  <r>
    <x v="1"/>
    <x v="0"/>
    <s v="Tiverton Long"/>
    <s v="Miffy Treherne"/>
    <s v="Miffy Treherne Long"/>
    <s v="QO"/>
    <m/>
    <m/>
    <s v=""/>
    <s v=""/>
    <n v="1.6666666666666666E-2"/>
    <e v="#VALUE!"/>
    <m/>
    <s v="W50"/>
    <m/>
    <m/>
    <n v="0"/>
    <n v="0"/>
    <n v="0"/>
    <n v="0"/>
    <n v="0"/>
    <n v="10"/>
    <n v="0.75"/>
    <n v="0"/>
    <n v="821"/>
    <n v="821"/>
    <m/>
    <n v="3"/>
    <n v="821"/>
    <n v="2"/>
    <n v="2548"/>
    <n v="0"/>
    <n v="5"/>
    <x v="8"/>
    <n v="821"/>
  </r>
  <r>
    <x v="1"/>
    <x v="1"/>
    <s v="Tiverton Short"/>
    <s v="Andy Rimes"/>
    <s v="Andy Rimes Short"/>
    <s v="QO"/>
    <n v="51"/>
    <n v="42"/>
    <d v="1899-12-30T00:51:42"/>
    <n v="3.5902777777777777E-2"/>
    <n v="1"/>
    <n v="51.699999999999996"/>
    <m/>
    <s v="M55"/>
    <n v="970"/>
    <n v="60"/>
    <n v="910"/>
    <n v="0"/>
    <n v="0"/>
    <n v="910"/>
    <n v="948"/>
    <n v="2"/>
    <n v="0.82"/>
    <n v="1110"/>
    <m/>
    <n v="925"/>
    <m/>
    <n v="2"/>
    <n v="925"/>
    <n v="2"/>
    <n v="2836"/>
    <n v="0"/>
    <n v="2"/>
    <x v="14"/>
    <n v="925"/>
  </r>
  <r>
    <x v="1"/>
    <x v="1"/>
    <s v="Tiverton Short"/>
    <s v="Alasdair Shaw"/>
    <s v="Alasdair Shaw Short"/>
    <s v="QO"/>
    <n v="49"/>
    <n v="35"/>
    <d v="1899-12-30T00:49:35"/>
    <n v="3.4432870370370371E-2"/>
    <n v="1"/>
    <n v="49.583333333333329"/>
    <m/>
    <s v="M40"/>
    <n v="960"/>
    <m/>
    <n v="960"/>
    <n v="0"/>
    <n v="0"/>
    <n v="960"/>
    <n v="1000"/>
    <n v="1"/>
    <n v="0.93"/>
    <n v="1032"/>
    <m/>
    <n v="860"/>
    <m/>
    <n v="1"/>
    <n v="860"/>
    <n v="2"/>
    <n v="2495"/>
    <n v="0"/>
    <n v="3"/>
    <x v="21"/>
    <n v="860"/>
  </r>
  <r>
    <x v="1"/>
    <x v="1"/>
    <s v="Tiverton Short"/>
    <s v="Ray Toomer"/>
    <s v="Ray Toomer Short"/>
    <s v="QO"/>
    <n v="49"/>
    <n v="46"/>
    <d v="1899-12-30T00:49:46"/>
    <n v="3.4560185185185187E-2"/>
    <n v="1"/>
    <n v="49.766666666666666"/>
    <m/>
    <s v="M65"/>
    <n v="840"/>
    <m/>
    <n v="840"/>
    <n v="0"/>
    <n v="0"/>
    <n v="840"/>
    <n v="875"/>
    <n v="3"/>
    <n v="0.7"/>
    <n v="1200"/>
    <m/>
    <n v="1000"/>
    <m/>
    <n v="1"/>
    <n v="1000"/>
    <n v="2"/>
    <n v="3000"/>
    <n v="0"/>
    <n v="1"/>
    <x v="17"/>
    <n v="1000"/>
  </r>
  <r>
    <x v="1"/>
    <x v="1"/>
    <s v="Tiverton Short"/>
    <s v="John Carter"/>
    <s v="John Carter Short"/>
    <s v="QO"/>
    <n v="50"/>
    <n v="45"/>
    <d v="1899-12-30T00:50:45"/>
    <n v="3.5243055555555555E-2"/>
    <n v="1"/>
    <n v="50.75"/>
    <s v="M70"/>
    <s v="M65"/>
    <n v="590"/>
    <n v="30"/>
    <n v="560"/>
    <n v="0"/>
    <n v="0"/>
    <n v="560"/>
    <n v="583"/>
    <n v="4"/>
    <n v="0.7"/>
    <n v="800"/>
    <m/>
    <n v="667"/>
    <m/>
    <n v="2"/>
    <n v="667"/>
    <n v="1"/>
    <n v="1520"/>
    <n v="1520"/>
    <n v="4"/>
    <x v="29"/>
    <n v="667"/>
  </r>
  <r>
    <x v="1"/>
    <x v="1"/>
    <s v="Tiverton Short"/>
    <s v="Roger Craddock"/>
    <s v="Roger Craddock Short"/>
    <s v="QO"/>
    <n v="54"/>
    <n v="6"/>
    <d v="1899-12-30T00:54:06"/>
    <n v="3.7569444444444447E-2"/>
    <n v="1"/>
    <n v="54.1"/>
    <s v="M80"/>
    <s v="M75"/>
    <n v="610"/>
    <n v="150"/>
    <n v="460"/>
    <n v="0"/>
    <n v="0"/>
    <n v="460"/>
    <n v="479"/>
    <n v="5"/>
    <n v="0.6"/>
    <n v="767"/>
    <m/>
    <n v="639"/>
    <m/>
    <n v="3"/>
    <n v="639"/>
    <n v="1"/>
    <n v="2260"/>
    <n v="2260"/>
    <n v="5"/>
    <x v="30"/>
    <n v="639"/>
  </r>
  <r>
    <x v="1"/>
    <x v="1"/>
    <s v="Tiverton Short"/>
    <s v="Sarah Hasler"/>
    <s v="Sarah Hasler Short"/>
    <s v="QO"/>
    <n v="44"/>
    <n v="12"/>
    <d v="1899-12-30T00:44:12"/>
    <n v="3.0694444444444444E-2"/>
    <n v="1"/>
    <n v="44.2"/>
    <m/>
    <s v="W55"/>
    <n v="440"/>
    <n v="0"/>
    <n v="440"/>
    <n v="0"/>
    <n v="0"/>
    <n v="440"/>
    <n v="458"/>
    <n v="6"/>
    <n v="0.7"/>
    <n v="629"/>
    <m/>
    <n v="524"/>
    <m/>
    <n v="3"/>
    <n v="524"/>
    <n v="2"/>
    <n v="1850"/>
    <n v="0"/>
    <n v="6"/>
    <x v="20"/>
    <n v="524"/>
  </r>
  <r>
    <x v="1"/>
    <x v="1"/>
    <s v="Tiverton Short"/>
    <s v="Victoria Fieldhouse"/>
    <s v="Victoria Fieldhouse Short"/>
    <s v="Ind"/>
    <n v="60"/>
    <n v="48"/>
    <d v="1899-12-30T01:00:48"/>
    <n v="4.2222222222222217E-2"/>
    <n v="1"/>
    <n v="60.79999999999999"/>
    <m/>
    <s v="W55"/>
    <n v="620"/>
    <n v="330"/>
    <n v="290"/>
    <n v="0"/>
    <n v="0"/>
    <n v="290"/>
    <n v="302"/>
    <n v="7"/>
    <n v="0.7"/>
    <n v="414"/>
    <m/>
    <n v="345"/>
    <m/>
    <n v="1"/>
    <s v=""/>
    <n v="1"/>
    <n v="0"/>
    <n v="0"/>
    <n v="7"/>
    <x v="13"/>
    <s v=""/>
  </r>
  <r>
    <x v="2"/>
    <x v="0"/>
    <s v="Wellington Long"/>
    <s v="Ollie Rant"/>
    <s v="Ollie Rant Long"/>
    <s v="QO"/>
    <n v="53"/>
    <n v="36"/>
    <d v="1899-12-30T00:53:36"/>
    <n v="3.7222222222222219E-2"/>
    <n v="1"/>
    <n v="53.6"/>
    <m/>
    <s v="M21"/>
    <n v="1120"/>
    <n v="120"/>
    <n v="1000"/>
    <n v="0"/>
    <n v="0"/>
    <n v="1000"/>
    <n v="1000"/>
    <n v="1"/>
    <n v="1"/>
    <n v="1000"/>
    <m/>
    <n v="977"/>
    <m/>
    <n v="1"/>
    <n v="977"/>
    <n v="3"/>
    <n v="2858"/>
    <n v="0"/>
    <n v="2"/>
    <x v="0"/>
    <n v="977"/>
  </r>
  <r>
    <x v="2"/>
    <x v="0"/>
    <s v="Wellington Long"/>
    <s v="Robin Fieldhouse"/>
    <s v="Robin Fieldhouse Long"/>
    <s v="QO"/>
    <n v="49"/>
    <n v="18"/>
    <d v="1899-12-30T00:49:18"/>
    <n v="3.4236111111111113E-2"/>
    <n v="1"/>
    <n v="49.300000000000004"/>
    <m/>
    <s v="M21"/>
    <n v="880"/>
    <n v="0"/>
    <n v="880"/>
    <n v="0"/>
    <n v="0"/>
    <n v="880"/>
    <n v="880"/>
    <n v="2"/>
    <n v="1"/>
    <n v="880"/>
    <m/>
    <n v="859"/>
    <m/>
    <n v="2"/>
    <n v="859"/>
    <n v="3"/>
    <n v="2600"/>
    <n v="0"/>
    <n v="7"/>
    <x v="2"/>
    <n v="859"/>
  </r>
  <r>
    <x v="2"/>
    <x v="0"/>
    <s v="Wellington Long"/>
    <s v="Richard Sansbury"/>
    <s v="Richard Sansbury Long"/>
    <s v="QO"/>
    <n v="49"/>
    <n v="12"/>
    <d v="1899-12-30T00:49:12"/>
    <n v="3.4166666666666672E-2"/>
    <n v="1"/>
    <n v="49.2"/>
    <m/>
    <s v="M50"/>
    <n v="870"/>
    <n v="0"/>
    <n v="870"/>
    <n v="0"/>
    <n v="0"/>
    <n v="870"/>
    <n v="870"/>
    <n v="3"/>
    <n v="0.85"/>
    <n v="1024"/>
    <m/>
    <n v="1000"/>
    <m/>
    <n v="1"/>
    <n v="1000"/>
    <n v="1"/>
    <n v="1822"/>
    <n v="1822"/>
    <n v="1"/>
    <x v="31"/>
    <n v="1000"/>
  </r>
  <r>
    <x v="2"/>
    <x v="0"/>
    <s v="Wellington Long"/>
    <s v="Adam 'Tango' Holland"/>
    <s v="Adam 'Tango' Holland Long"/>
    <s v="Ind"/>
    <n v="53"/>
    <n v="50"/>
    <d v="1899-12-30T00:53:50"/>
    <n v="3.7384259259259263E-2"/>
    <n v="1"/>
    <n v="53.833333333333343"/>
    <m/>
    <s v="M30"/>
    <n v="990"/>
    <n v="120"/>
    <n v="870"/>
    <n v="0"/>
    <n v="0"/>
    <n v="870"/>
    <n v="870"/>
    <n v="3"/>
    <n v="0.99"/>
    <n v="879"/>
    <m/>
    <n v="858"/>
    <m/>
    <n v="1"/>
    <s v=""/>
    <n v="2"/>
    <n v="0"/>
    <n v="0"/>
    <n v="8"/>
    <x v="1"/>
    <s v=""/>
  </r>
  <r>
    <x v="2"/>
    <x v="0"/>
    <s v="Wellington Long"/>
    <s v="Andy Bussell"/>
    <s v="Andy Bussell Long"/>
    <s v="QO"/>
    <n v="50"/>
    <n v="28"/>
    <d v="1899-12-30T00:50:28"/>
    <n v="3.5046296296296298E-2"/>
    <n v="1"/>
    <n v="50.466666666666669"/>
    <m/>
    <s v="M45"/>
    <n v="840"/>
    <n v="30"/>
    <n v="810"/>
    <n v="0"/>
    <n v="0"/>
    <n v="810"/>
    <n v="810"/>
    <n v="5"/>
    <n v="0.89"/>
    <n v="910"/>
    <m/>
    <n v="889"/>
    <m/>
    <n v="1"/>
    <n v="889"/>
    <n v="2"/>
    <n v="2477"/>
    <n v="0"/>
    <n v="6"/>
    <x v="5"/>
    <n v="889"/>
  </r>
  <r>
    <x v="2"/>
    <x v="0"/>
    <s v="Wellington Long"/>
    <s v="Adam Fieldhouse"/>
    <s v="Adam Fieldhouse Long"/>
    <s v="QO"/>
    <n v="50"/>
    <n v="37"/>
    <d v="1899-12-30T00:50:37"/>
    <n v="3.515046296296296E-2"/>
    <n v="1"/>
    <n v="50.616666666666667"/>
    <m/>
    <s v="M21"/>
    <n v="840"/>
    <n v="30"/>
    <n v="810"/>
    <n v="0"/>
    <n v="0"/>
    <n v="810"/>
    <n v="810"/>
    <n v="5"/>
    <n v="1"/>
    <n v="810"/>
    <m/>
    <n v="791"/>
    <m/>
    <n v="4"/>
    <s v=""/>
    <n v="2"/>
    <n v="2719"/>
    <n v="0"/>
    <n v="9"/>
    <x v="22"/>
    <s v=""/>
  </r>
  <r>
    <x v="2"/>
    <x v="0"/>
    <s v="Wellington Long"/>
    <s v="Matt Atkins"/>
    <s v="Matt Atkins Long"/>
    <s v="Devon"/>
    <n v="50"/>
    <n v="33"/>
    <d v="1899-12-30T00:50:33"/>
    <n v="3.5104166666666665E-2"/>
    <n v="1"/>
    <n v="50.550000000000004"/>
    <m/>
    <s v="M50"/>
    <n v="810"/>
    <n v="30"/>
    <n v="780"/>
    <n v="0"/>
    <n v="0"/>
    <n v="780"/>
    <n v="780"/>
    <n v="7"/>
    <n v="0.85"/>
    <n v="918"/>
    <m/>
    <n v="896"/>
    <m/>
    <n v="3"/>
    <n v="896"/>
    <n v="1"/>
    <n v="2842"/>
    <n v="2842"/>
    <n v="5"/>
    <x v="32"/>
    <n v="896"/>
  </r>
  <r>
    <x v="2"/>
    <x v="0"/>
    <s v="Wellington Long"/>
    <s v="Sam Johnson"/>
    <s v="Sam Johnson Long"/>
    <s v="Ind"/>
    <n v="50"/>
    <n v="56"/>
    <d v="1899-12-30T00:50:56"/>
    <n v="3.5370370370370365E-2"/>
    <n v="1"/>
    <n v="50.93333333333333"/>
    <m/>
    <s v="M21"/>
    <n v="780"/>
    <n v="30"/>
    <n v="750"/>
    <n v="0"/>
    <n v="0"/>
    <n v="750"/>
    <n v="750"/>
    <n v="8"/>
    <n v="1"/>
    <n v="750"/>
    <m/>
    <n v="732"/>
    <m/>
    <n v="1"/>
    <s v=""/>
    <n v="1"/>
    <n v="0"/>
    <n v="0"/>
    <n v="11"/>
    <x v="33"/>
    <s v=""/>
  </r>
  <r>
    <x v="2"/>
    <x v="0"/>
    <s v="Wellington Long"/>
    <s v="Chris Philip"/>
    <s v="Chris Philip Long"/>
    <s v="QO"/>
    <n v="49"/>
    <n v="19"/>
    <d v="1899-12-30T00:49:19"/>
    <n v="3.4247685185185187E-2"/>
    <n v="1"/>
    <n v="49.31666666666667"/>
    <m/>
    <s v="M65"/>
    <n v="690"/>
    <n v="0"/>
    <n v="690"/>
    <n v="0"/>
    <n v="0"/>
    <n v="690"/>
    <n v="690"/>
    <n v="9"/>
    <n v="0.7"/>
    <n v="986"/>
    <m/>
    <n v="963"/>
    <m/>
    <n v="2"/>
    <n v="963"/>
    <n v="2"/>
    <n v="2863"/>
    <n v="0"/>
    <n v="3"/>
    <x v="28"/>
    <n v="963"/>
  </r>
  <r>
    <x v="2"/>
    <x v="0"/>
    <s v="Wellington Long"/>
    <s v="Miffy Treherne"/>
    <s v="Miffy Treherne Long"/>
    <s v="QO"/>
    <n v="49"/>
    <n v="52"/>
    <d v="1899-12-30T00:49:52"/>
    <n v="3.4629629629629628E-2"/>
    <n v="1"/>
    <n v="49.866666666666667"/>
    <m/>
    <s v="W50"/>
    <n v="690"/>
    <n v="0"/>
    <n v="690"/>
    <n v="0"/>
    <n v="0"/>
    <n v="690"/>
    <n v="690"/>
    <n v="9"/>
    <n v="0.75"/>
    <n v="920"/>
    <m/>
    <n v="898"/>
    <m/>
    <n v="1"/>
    <n v="898"/>
    <n v="3"/>
    <n v="2548"/>
    <n v="0"/>
    <n v="4"/>
    <x v="8"/>
    <n v="898"/>
  </r>
  <r>
    <x v="2"/>
    <x v="0"/>
    <s v="Wellington Long"/>
    <s v="Pete Shirvington"/>
    <s v="Pete Shirvington Long"/>
    <s v="QO"/>
    <n v="54"/>
    <n v="30"/>
    <d v="1899-12-30T00:54:30"/>
    <n v="3.784722222222222E-2"/>
    <n v="1"/>
    <n v="54.499999999999993"/>
    <m/>
    <s v="M45"/>
    <n v="830"/>
    <n v="150"/>
    <n v="680"/>
    <n v="0"/>
    <n v="0"/>
    <n v="680"/>
    <n v="680"/>
    <n v="11"/>
    <n v="0.89"/>
    <n v="764"/>
    <m/>
    <n v="746"/>
    <m/>
    <n v="2"/>
    <n v="746"/>
    <n v="2"/>
    <n v="1514"/>
    <n v="0"/>
    <n v="10"/>
    <x v="6"/>
    <n v="746"/>
  </r>
  <r>
    <x v="2"/>
    <x v="0"/>
    <s v="Wellington Long"/>
    <s v="Brian Pearson"/>
    <s v="Brian Pearson Long"/>
    <s v="QO"/>
    <n v="55"/>
    <n v="47"/>
    <d v="1899-12-30T00:55:47"/>
    <n v="3.8738425925925926E-2"/>
    <n v="1"/>
    <n v="55.783333333333331"/>
    <m/>
    <s v="M60"/>
    <n v="730"/>
    <n v="180"/>
    <n v="550"/>
    <n v="0"/>
    <n v="0"/>
    <n v="550"/>
    <n v="550"/>
    <n v="12"/>
    <n v="0.76"/>
    <n v="724"/>
    <m/>
    <n v="707"/>
    <m/>
    <n v="1"/>
    <n v="707"/>
    <n v="2"/>
    <n v="2039"/>
    <n v="0"/>
    <n v="12"/>
    <x v="9"/>
    <n v="707"/>
  </r>
  <r>
    <x v="2"/>
    <x v="0"/>
    <s v="Wellington Long"/>
    <s v="Simon St Leger-Harris"/>
    <s v="Simon St Leger-Harris Long"/>
    <s v="QO"/>
    <n v="56"/>
    <n v="36"/>
    <d v="1899-12-30T00:56:36"/>
    <n v="3.9305555555555559E-2"/>
    <n v="1"/>
    <n v="56.6"/>
    <m/>
    <s v="M65"/>
    <n v="660"/>
    <n v="210"/>
    <n v="450"/>
    <n v="0"/>
    <n v="0"/>
    <n v="450"/>
    <n v="450"/>
    <n v="13"/>
    <n v="0.7"/>
    <n v="643"/>
    <m/>
    <n v="628"/>
    <m/>
    <n v="5"/>
    <s v=""/>
    <n v="3"/>
    <n v="2425"/>
    <n v="0"/>
    <n v="13"/>
    <x v="7"/>
    <s v=""/>
  </r>
  <r>
    <x v="2"/>
    <x v="0"/>
    <s v="Wellington Long"/>
    <s v="Stephen Lysaczenko"/>
    <s v="Stephen Lysaczenko Long"/>
    <s v="QO"/>
    <n v="56"/>
    <n v="57"/>
    <d v="1899-12-30T00:56:57"/>
    <n v="3.9548611111111111E-2"/>
    <n v="1"/>
    <n v="56.95"/>
    <m/>
    <s v="M55"/>
    <n v="500"/>
    <n v="210"/>
    <n v="290"/>
    <n v="0"/>
    <n v="0"/>
    <n v="290"/>
    <n v="290"/>
    <n v="14"/>
    <n v="0.82"/>
    <n v="354"/>
    <m/>
    <n v="346"/>
    <m/>
    <n v="3"/>
    <n v="346"/>
    <n v="2"/>
    <n v="1507"/>
    <n v="0"/>
    <n v="15"/>
    <x v="27"/>
    <n v="346"/>
  </r>
  <r>
    <x v="2"/>
    <x v="0"/>
    <s v="Wellington Long"/>
    <s v="Thomas Hasler"/>
    <s v="Thomas Hasler Long"/>
    <s v="QO"/>
    <m/>
    <m/>
    <s v=""/>
    <s v=""/>
    <n v="1.6666666666666666E-2"/>
    <e v="#VALUE!"/>
    <m/>
    <s v="M20"/>
    <m/>
    <n v="0"/>
    <n v="0"/>
    <n v="0"/>
    <n v="0"/>
    <n v="0"/>
    <n v="0"/>
    <n v="15"/>
    <n v="0.98"/>
    <n v="0"/>
    <n v="492"/>
    <n v="492"/>
    <m/>
    <n v="1"/>
    <n v="492"/>
    <n v="2"/>
    <n v="984"/>
    <n v="0"/>
    <n v="14"/>
    <x v="26"/>
    <n v="492"/>
  </r>
  <r>
    <x v="2"/>
    <x v="1"/>
    <s v="Wellington Short"/>
    <s v="Andy Rimes"/>
    <s v="Andy Rimes Short"/>
    <s v="QO"/>
    <n v="49"/>
    <n v="43"/>
    <d v="1899-12-30T00:49:43"/>
    <n v="3.4525462962962966E-2"/>
    <n v="1"/>
    <n v="49.716666666666669"/>
    <m/>
    <s v="M55"/>
    <n v="930"/>
    <n v="0"/>
    <n v="930"/>
    <n v="0"/>
    <n v="0"/>
    <n v="930"/>
    <n v="1000"/>
    <n v="1"/>
    <n v="0.82"/>
    <n v="1134"/>
    <m/>
    <n v="872"/>
    <m/>
    <n v="4"/>
    <s v=""/>
    <n v="3"/>
    <n v="2836"/>
    <n v="0"/>
    <n v="4"/>
    <x v="14"/>
    <s v=""/>
  </r>
  <r>
    <x v="2"/>
    <x v="1"/>
    <s v="Wellington Short"/>
    <s v="Ray Toomer"/>
    <s v="Ray Toomer Short"/>
    <s v="QO"/>
    <n v="50"/>
    <n v="4"/>
    <d v="1899-12-30T00:50:04"/>
    <n v="3.4768518518518525E-2"/>
    <n v="1"/>
    <n v="50.06666666666667"/>
    <m/>
    <s v="M65"/>
    <n v="940"/>
    <n v="30"/>
    <n v="910"/>
    <n v="0"/>
    <n v="0"/>
    <n v="910"/>
    <n v="978"/>
    <n v="2"/>
    <n v="0.7"/>
    <n v="1300"/>
    <m/>
    <n v="1000"/>
    <m/>
    <n v="1"/>
    <n v="1000"/>
    <n v="3"/>
    <n v="3000"/>
    <n v="0"/>
    <n v="1"/>
    <x v="17"/>
    <n v="1000"/>
  </r>
  <r>
    <x v="2"/>
    <x v="1"/>
    <s v="Wellington Short"/>
    <s v="Steve Robertson"/>
    <s v="Steve Robertson Short"/>
    <s v="QO"/>
    <n v="50"/>
    <n v="38"/>
    <d v="1899-12-30T00:50:38"/>
    <n v="3.516203703703704E-2"/>
    <n v="1"/>
    <n v="50.633333333333333"/>
    <m/>
    <s v="M65"/>
    <n v="930"/>
    <n v="30"/>
    <n v="900"/>
    <n v="0"/>
    <n v="0"/>
    <n v="900"/>
    <n v="968"/>
    <n v="3"/>
    <n v="0.7"/>
    <n v="1286"/>
    <m/>
    <n v="989"/>
    <m/>
    <n v="2"/>
    <n v="989"/>
    <n v="1"/>
    <n v="1989"/>
    <n v="1989"/>
    <n v="2"/>
    <x v="34"/>
    <n v="989"/>
  </r>
  <r>
    <x v="2"/>
    <x v="1"/>
    <s v="Wellington Short"/>
    <s v="Alasdair Shaw"/>
    <s v="Alasdair Shaw Short"/>
    <s v="QO"/>
    <n v="49"/>
    <n v="30"/>
    <d v="1899-12-30T00:49:30"/>
    <n v="3.4374999999999996E-2"/>
    <n v="1"/>
    <n v="49.5"/>
    <m/>
    <s v="M40"/>
    <n v="880"/>
    <n v="0"/>
    <n v="880"/>
    <n v="0"/>
    <n v="0"/>
    <n v="880"/>
    <n v="946"/>
    <n v="4"/>
    <n v="0.93"/>
    <n v="946"/>
    <m/>
    <n v="728"/>
    <m/>
    <n v="4"/>
    <s v=""/>
    <n v="3"/>
    <n v="2495"/>
    <n v="0"/>
    <n v="6"/>
    <x v="21"/>
    <s v=""/>
  </r>
  <r>
    <x v="2"/>
    <x v="1"/>
    <s v="Wellington Short"/>
    <s v="Vikki Page"/>
    <s v="Vikki Page Short"/>
    <s v="QO"/>
    <n v="50"/>
    <n v="1"/>
    <d v="1899-12-30T00:50:01"/>
    <n v="3.4733796296296297E-2"/>
    <n v="1"/>
    <n v="50.016666666666666"/>
    <m/>
    <s v="W45"/>
    <n v="820"/>
    <n v="30"/>
    <n v="790"/>
    <n v="0"/>
    <n v="0"/>
    <n v="790"/>
    <n v="849"/>
    <n v="5"/>
    <n v="0.79"/>
    <n v="1000"/>
    <m/>
    <n v="769"/>
    <m/>
    <n v="2"/>
    <n v="769"/>
    <n v="1"/>
    <n v="2035"/>
    <n v="2035"/>
    <n v="5"/>
    <x v="35"/>
    <n v="769"/>
  </r>
  <r>
    <x v="2"/>
    <x v="1"/>
    <s v="Wellington Short"/>
    <s v="Rosie Wych"/>
    <s v="Rosie Wych Short"/>
    <s v="QO"/>
    <n v="51"/>
    <n v="56"/>
    <d v="1899-12-30T00:51:56"/>
    <n v="3.6064814814814813E-2"/>
    <n v="1"/>
    <n v="51.93333333333333"/>
    <m/>
    <s v="W65"/>
    <n v="830"/>
    <n v="60"/>
    <n v="770"/>
    <n v="0"/>
    <n v="0"/>
    <n v="770"/>
    <n v="828"/>
    <n v="6"/>
    <n v="0.61"/>
    <n v="1262"/>
    <m/>
    <n v="971"/>
    <m/>
    <n v="2"/>
    <n v="971"/>
    <n v="2"/>
    <n v="2923"/>
    <n v="0"/>
    <n v="3"/>
    <x v="18"/>
    <n v="971"/>
  </r>
  <r>
    <x v="2"/>
    <x v="1"/>
    <s v="Wellington Short"/>
    <s v="Sarah Hasler"/>
    <s v="Sarah Hasler Short"/>
    <s v="QO"/>
    <n v="50"/>
    <n v="4"/>
    <d v="1899-12-30T00:50:04"/>
    <n v="3.4768518518518525E-2"/>
    <n v="1"/>
    <n v="50.06666666666667"/>
    <m/>
    <s v="W55"/>
    <n v="570"/>
    <n v="30"/>
    <n v="540"/>
    <n v="0"/>
    <n v="0"/>
    <n v="540"/>
    <n v="581"/>
    <n v="7"/>
    <n v="0.7"/>
    <n v="771"/>
    <m/>
    <n v="593"/>
    <m/>
    <n v="2"/>
    <n v="593"/>
    <n v="3"/>
    <n v="1850"/>
    <n v="0"/>
    <n v="8"/>
    <x v="20"/>
    <n v="593"/>
  </r>
  <r>
    <x v="2"/>
    <x v="1"/>
    <s v="Wellington Short"/>
    <s v="John Trayler"/>
    <s v="John Trayler Short"/>
    <s v="QO"/>
    <n v="52"/>
    <n v="10"/>
    <d v="1899-12-30T00:52:10"/>
    <n v="3.622685185185185E-2"/>
    <n v="1"/>
    <n v="52.166666666666671"/>
    <m/>
    <s v="M75"/>
    <n v="550"/>
    <n v="90"/>
    <n v="460"/>
    <n v="0"/>
    <n v="0"/>
    <n v="460"/>
    <n v="495"/>
    <n v="8"/>
    <n v="0.6"/>
    <n v="767"/>
    <m/>
    <n v="590"/>
    <m/>
    <n v="2"/>
    <n v="590"/>
    <n v="1"/>
    <n v="1775"/>
    <n v="1775"/>
    <n v="9"/>
    <x v="36"/>
    <n v="590"/>
  </r>
  <r>
    <x v="2"/>
    <x v="1"/>
    <s v="Wellington Short"/>
    <s v="Roger Craddock"/>
    <s v="Roger Craddock Short"/>
    <s v="QO"/>
    <n v="51"/>
    <n v="12"/>
    <d v="1899-12-30T00:51:12"/>
    <n v="3.5555555555555556E-2"/>
    <n v="1"/>
    <n v="51.199999999999996"/>
    <m/>
    <s v="M80"/>
    <n v="510"/>
    <n v="60"/>
    <n v="450"/>
    <n v="0"/>
    <n v="0"/>
    <n v="450"/>
    <n v="484"/>
    <n v="9"/>
    <n v="0.55000000000000004"/>
    <n v="818"/>
    <m/>
    <n v="629"/>
    <m/>
    <n v="4"/>
    <s v=""/>
    <n v="2"/>
    <n v="2260"/>
    <n v="0"/>
    <n v="7"/>
    <x v="30"/>
    <s v=""/>
  </r>
  <r>
    <x v="2"/>
    <x v="1"/>
    <s v="Wellington Short"/>
    <s v="Sarah Rimes"/>
    <s v="Sarah Rimes Short"/>
    <s v="Ind"/>
    <n v="50"/>
    <n v="50"/>
    <d v="1899-12-30T00:50:50"/>
    <n v="3.5300925925925923E-2"/>
    <n v="1"/>
    <n v="50.833333333333329"/>
    <m/>
    <s v="W30"/>
    <n v="470"/>
    <n v="30"/>
    <n v="440"/>
    <n v="0"/>
    <n v="0"/>
    <n v="440"/>
    <n v="473"/>
    <n v="10"/>
    <n v="0.87"/>
    <n v="506"/>
    <m/>
    <n v="389"/>
    <m/>
    <n v="2"/>
    <s v=""/>
    <n v="1"/>
    <n v="0"/>
    <n v="0"/>
    <n v="10"/>
    <x v="37"/>
    <s v=""/>
  </r>
  <r>
    <x v="2"/>
    <x v="1"/>
    <s v="Wellington Short"/>
    <s v="Vicky Fieldhouse"/>
    <s v="Vicky Fieldhouse Short"/>
    <s v="Ind"/>
    <n v="62"/>
    <n v="17"/>
    <d v="1899-12-30T01:02:17"/>
    <n v="4.3252314814814813E-2"/>
    <n v="1"/>
    <n v="62.283333333333331"/>
    <m/>
    <s v="W55"/>
    <n v="700"/>
    <n v="390"/>
    <n v="310"/>
    <n v="0"/>
    <n v="0"/>
    <n v="310"/>
    <n v="333"/>
    <n v="11"/>
    <n v="0.7"/>
    <n v="443"/>
    <m/>
    <n v="341"/>
    <m/>
    <n v="2"/>
    <s v=""/>
    <n v="1"/>
    <n v="0"/>
    <n v="0"/>
    <n v="11"/>
    <x v="38"/>
    <s v=""/>
  </r>
  <r>
    <x v="3"/>
    <x v="0"/>
    <s v="Wiveliscombe Long"/>
    <s v="Adam Fieldhouse"/>
    <s v="Adam Fieldhouse Long"/>
    <s v="QO"/>
    <n v="51"/>
    <n v="4"/>
    <d v="1899-12-30T00:51:04"/>
    <n v="3.5462962962962967E-2"/>
    <n v="1"/>
    <n v="51.06666666666667"/>
    <m/>
    <s v="M21"/>
    <n v="790"/>
    <n v="60"/>
    <n v="730"/>
    <n v="0"/>
    <n v="0"/>
    <n v="730"/>
    <n v="1000"/>
    <n v="1"/>
    <n v="1"/>
    <n v="730"/>
    <m/>
    <n v="1000"/>
    <m/>
    <n v="1"/>
    <n v="1000"/>
    <n v="3"/>
    <n v="2719"/>
    <n v="0"/>
    <n v="1"/>
    <x v="22"/>
    <n v="1000"/>
  </r>
  <r>
    <x v="3"/>
    <x v="0"/>
    <s v="Wiveliscombe Long"/>
    <s v="Robin Fieldhouse"/>
    <s v="Robin Fieldhouse Long"/>
    <s v="QO"/>
    <n v="49"/>
    <n v="8"/>
    <d v="1899-12-30T00:49:08"/>
    <n v="3.412037037037037E-2"/>
    <n v="1"/>
    <n v="49.133333333333333"/>
    <m/>
    <s v="M21"/>
    <n v="700"/>
    <n v="0"/>
    <n v="700"/>
    <n v="0"/>
    <n v="0"/>
    <n v="700"/>
    <n v="959"/>
    <n v="2"/>
    <n v="1"/>
    <n v="700"/>
    <m/>
    <n v="959"/>
    <m/>
    <n v="1"/>
    <n v="959"/>
    <n v="4"/>
    <n v="2600"/>
    <n v="0"/>
    <n v="3"/>
    <x v="2"/>
    <n v="959"/>
  </r>
  <r>
    <x v="3"/>
    <x v="0"/>
    <s v="Wiveliscombe Long"/>
    <s v="Ollie Rant"/>
    <s v="Ollie Rant Long"/>
    <s v="QO"/>
    <n v="47"/>
    <n v="30"/>
    <d v="1899-12-30T00:47:30"/>
    <n v="3.2986111111111112E-2"/>
    <n v="1"/>
    <n v="47.500000000000007"/>
    <m/>
    <s v="M21"/>
    <n v="690"/>
    <n v="0"/>
    <n v="690"/>
    <n v="0"/>
    <n v="0"/>
    <n v="690"/>
    <n v="945"/>
    <n v="3"/>
    <n v="1"/>
    <n v="690"/>
    <m/>
    <n v="945"/>
    <m/>
    <n v="2"/>
    <n v="945"/>
    <n v="4"/>
    <n v="2858"/>
    <n v="0"/>
    <n v="4"/>
    <x v="0"/>
    <n v="945"/>
  </r>
  <r>
    <x v="3"/>
    <x v="0"/>
    <s v="Wiveliscombe Long"/>
    <s v="Matt Atkins"/>
    <s v="Matt Atkins Long"/>
    <s v="Devon"/>
    <n v="50"/>
    <n v="23"/>
    <d v="1899-12-30T00:50:23"/>
    <n v="3.498842592592593E-2"/>
    <n v="1"/>
    <n v="50.383333333333333"/>
    <m/>
    <s v="M50"/>
    <n v="650"/>
    <n v="30"/>
    <n v="620"/>
    <n v="0"/>
    <n v="0"/>
    <n v="620"/>
    <n v="849"/>
    <n v="4"/>
    <n v="0.85"/>
    <n v="729"/>
    <m/>
    <n v="999"/>
    <m/>
    <n v="1"/>
    <n v="999"/>
    <n v="2"/>
    <n v="2842"/>
    <n v="0"/>
    <n v="2"/>
    <x v="32"/>
    <n v="999"/>
  </r>
  <r>
    <x v="3"/>
    <x v="0"/>
    <s v="Wiveliscombe Long"/>
    <s v="Adam 'Tango' Holland"/>
    <s v="Adam 'Tango' Holland Long"/>
    <s v="Ind"/>
    <n v="40"/>
    <n v="40"/>
    <d v="1899-12-30T00:40:40"/>
    <n v="2.8240740740740736E-2"/>
    <n v="1"/>
    <n v="40.666666666666664"/>
    <m/>
    <s v="M30"/>
    <n v="590"/>
    <n v="0"/>
    <n v="590"/>
    <n v="0"/>
    <n v="0"/>
    <n v="590"/>
    <n v="808"/>
    <n v="5"/>
    <n v="0.99"/>
    <n v="596"/>
    <m/>
    <n v="816"/>
    <m/>
    <n v="3"/>
    <s v=""/>
    <n v="3"/>
    <n v="0"/>
    <n v="0"/>
    <n v="7"/>
    <x v="1"/>
    <s v=""/>
  </r>
  <r>
    <x v="3"/>
    <x v="0"/>
    <s v="Wiveliscombe Long"/>
    <s v="Richard Sansbury"/>
    <s v="Richard Sansbury Long"/>
    <s v="QO"/>
    <n v="50"/>
    <n v="58"/>
    <d v="1899-12-30T00:50:58"/>
    <n v="3.5393518518518519E-2"/>
    <n v="1"/>
    <n v="50.966666666666669"/>
    <m/>
    <s v="M50"/>
    <n v="540"/>
    <n v="30"/>
    <n v="510"/>
    <n v="0"/>
    <n v="0"/>
    <n v="510"/>
    <n v="699"/>
    <n v="6"/>
    <n v="0.85"/>
    <n v="600"/>
    <m/>
    <n v="822"/>
    <m/>
    <n v="2"/>
    <n v="822"/>
    <n v="2"/>
    <n v="1822"/>
    <n v="0"/>
    <n v="6"/>
    <x v="31"/>
    <n v="822"/>
  </r>
  <r>
    <x v="3"/>
    <x v="0"/>
    <s v="Wiveliscombe Long"/>
    <s v="Chris Philip"/>
    <s v="Chris Philip Long"/>
    <s v="QO"/>
    <n v="48"/>
    <n v="28"/>
    <d v="1899-12-30T00:48:28"/>
    <n v="3.3657407407407407E-2"/>
    <n v="1"/>
    <n v="48.466666666666661"/>
    <m/>
    <s v="M65"/>
    <n v="460"/>
    <n v="0"/>
    <n v="460"/>
    <n v="0"/>
    <n v="0"/>
    <n v="460"/>
    <n v="630"/>
    <n v="7"/>
    <n v="0.7"/>
    <n v="657"/>
    <m/>
    <n v="900"/>
    <m/>
    <n v="3"/>
    <n v="900"/>
    <n v="3"/>
    <n v="2863"/>
    <n v="0"/>
    <n v="5"/>
    <x v="28"/>
    <n v="900"/>
  </r>
  <r>
    <x v="3"/>
    <x v="0"/>
    <s v="Wiveliscombe Long"/>
    <s v="Simon St Leger-Harris"/>
    <s v="Simon St Leger-Harris Long"/>
    <s v="QO"/>
    <n v="55"/>
    <n v="56"/>
    <d v="1899-12-30T00:55:56"/>
    <n v="3.8842592592592588E-2"/>
    <n v="1"/>
    <n v="55.933333333333323"/>
    <m/>
    <s v="M65"/>
    <n v="520"/>
    <n v="180"/>
    <n v="340"/>
    <n v="0"/>
    <n v="0"/>
    <n v="340"/>
    <n v="466"/>
    <n v="8"/>
    <n v="0.7"/>
    <n v="486"/>
    <m/>
    <n v="666"/>
    <m/>
    <n v="4"/>
    <s v=""/>
    <n v="4"/>
    <n v="2425"/>
    <n v="0"/>
    <n v="8"/>
    <x v="7"/>
    <s v=""/>
  </r>
  <r>
    <x v="3"/>
    <x v="1"/>
    <s v="Wiveliscombe Short"/>
    <s v="Alasdair Shaw"/>
    <s v="Alasdair Shaw Short"/>
    <s v="QO"/>
    <n v="48"/>
    <n v="59"/>
    <d v="1899-12-30T00:48:59"/>
    <n v="3.4016203703703708E-2"/>
    <n v="1"/>
    <n v="48.983333333333341"/>
    <m/>
    <s v="M40"/>
    <n v="640"/>
    <m/>
    <n v="640"/>
    <n v="0"/>
    <n v="0"/>
    <n v="640"/>
    <n v="1000"/>
    <n v="1"/>
    <n v="0.93"/>
    <n v="688"/>
    <m/>
    <n v="860"/>
    <m/>
    <n v="1"/>
    <n v="860"/>
    <n v="4"/>
    <n v="2495"/>
    <n v="0"/>
    <n v="5"/>
    <x v="21"/>
    <n v="860"/>
  </r>
  <r>
    <x v="3"/>
    <x v="1"/>
    <s v="Wiveliscombe Short"/>
    <s v="Ray Toomer"/>
    <s v="Ray Toomer Short"/>
    <s v="QO"/>
    <n v="49"/>
    <n v="5"/>
    <d v="1899-12-30T00:49:05"/>
    <n v="3.408564814814815E-2"/>
    <n v="1"/>
    <n v="49.083333333333329"/>
    <m/>
    <s v="M65"/>
    <n v="560"/>
    <m/>
    <n v="560"/>
    <n v="0"/>
    <n v="0"/>
    <n v="560"/>
    <n v="875"/>
    <n v="2"/>
    <n v="0.7"/>
    <n v="800"/>
    <m/>
    <n v="1000"/>
    <m/>
    <n v="1"/>
    <n v="1000"/>
    <n v="4"/>
    <n v="3000"/>
    <n v="0"/>
    <n v="1"/>
    <x v="17"/>
    <n v="1000"/>
  </r>
  <r>
    <x v="3"/>
    <x v="1"/>
    <s v="Wiveliscombe Short"/>
    <s v="Miffy Treherne"/>
    <s v="Miffy Treherne Short"/>
    <s v="QO"/>
    <n v="46"/>
    <n v="51"/>
    <d v="1899-12-30T00:46:51"/>
    <n v="3.2534722222222222E-2"/>
    <n v="1"/>
    <n v="46.849999999999994"/>
    <m/>
    <s v="W50"/>
    <n v="520"/>
    <m/>
    <n v="520"/>
    <n v="0"/>
    <n v="0"/>
    <n v="520"/>
    <n v="813"/>
    <n v="3"/>
    <n v="0.75"/>
    <n v="693"/>
    <m/>
    <n v="866"/>
    <m/>
    <n v="1"/>
    <n v="866"/>
    <n v="1"/>
    <n v="866"/>
    <n v="866"/>
    <n v="4"/>
    <x v="8"/>
    <n v="866"/>
  </r>
  <r>
    <x v="3"/>
    <x v="1"/>
    <s v="Wiveliscombe Short"/>
    <s v="Mark Maynard"/>
    <s v="Mark Maynard Short"/>
    <s v="QO"/>
    <n v="46"/>
    <n v="33"/>
    <d v="1899-12-30T00:46:33"/>
    <n v="3.2326388888888884E-2"/>
    <n v="1"/>
    <n v="46.54999999999999"/>
    <m/>
    <s v="M50"/>
    <n v="450"/>
    <m/>
    <n v="450"/>
    <n v="0"/>
    <n v="0"/>
    <n v="450"/>
    <n v="703"/>
    <n v="4"/>
    <n v="0.85"/>
    <n v="529"/>
    <m/>
    <n v="661"/>
    <m/>
    <n v="2"/>
    <n v="661"/>
    <n v="2"/>
    <n v="1611"/>
    <n v="0"/>
    <n v="9"/>
    <x v="15"/>
    <n v="661"/>
  </r>
  <r>
    <x v="3"/>
    <x v="1"/>
    <s v="Wiveliscombe Short"/>
    <s v="John Carter"/>
    <s v="John Carter Short"/>
    <s v="QO"/>
    <n v="49"/>
    <n v="22"/>
    <d v="1899-12-30T00:49:22"/>
    <n v="3.4282407407407407E-2"/>
    <n v="1"/>
    <n v="49.366666666666667"/>
    <m/>
    <s v="M70"/>
    <n v="450"/>
    <m/>
    <n v="450"/>
    <n v="0"/>
    <n v="0"/>
    <n v="450"/>
    <n v="703"/>
    <n v="4"/>
    <n v="0.66"/>
    <n v="682"/>
    <m/>
    <n v="853"/>
    <m/>
    <n v="1"/>
    <n v="853"/>
    <n v="2"/>
    <n v="1520"/>
    <n v="0"/>
    <n v="6"/>
    <x v="29"/>
    <n v="853"/>
  </r>
  <r>
    <x v="3"/>
    <x v="1"/>
    <s v="Wiveliscombe Short"/>
    <s v="Sarah Hasler"/>
    <s v="Sarah Hasler Short"/>
    <s v="QO"/>
    <n v="49"/>
    <n v="11"/>
    <d v="1899-12-30T00:49:11"/>
    <n v="3.4155092592592591E-2"/>
    <n v="1"/>
    <n v="49.183333333333337"/>
    <m/>
    <s v="W55"/>
    <n v="410"/>
    <m/>
    <n v="410"/>
    <n v="0"/>
    <n v="0"/>
    <n v="410"/>
    <n v="641"/>
    <n v="6"/>
    <n v="0.7"/>
    <n v="586"/>
    <m/>
    <n v="733"/>
    <m/>
    <n v="1"/>
    <n v="733"/>
    <n v="4"/>
    <n v="1850"/>
    <n v="0"/>
    <n v="8"/>
    <x v="20"/>
    <n v="733"/>
  </r>
  <r>
    <x v="3"/>
    <x v="1"/>
    <s v="Wiveliscombe Short"/>
    <s v="Roger Craddock"/>
    <s v="Roger Craddock Short"/>
    <s v="QO"/>
    <n v="50"/>
    <n v="30"/>
    <d v="1899-12-30T00:50:30"/>
    <n v="3.5069444444444445E-2"/>
    <n v="1"/>
    <n v="50.5"/>
    <m/>
    <s v="M80"/>
    <n v="380"/>
    <n v="30"/>
    <n v="350"/>
    <n v="0"/>
    <n v="0"/>
    <n v="350"/>
    <n v="547"/>
    <n v="7"/>
    <n v="0.55000000000000004"/>
    <n v="636"/>
    <m/>
    <n v="795"/>
    <m/>
    <n v="2"/>
    <n v="795"/>
    <n v="3"/>
    <n v="2260"/>
    <n v="0"/>
    <n v="7"/>
    <x v="30"/>
    <n v="795"/>
  </r>
  <r>
    <x v="3"/>
    <x v="1"/>
    <s v="Wiveliscombe Short"/>
    <s v="Vikki Page"/>
    <s v="Vikki Page Short"/>
    <s v="QO"/>
    <n v="52"/>
    <n v="40"/>
    <d v="1899-12-30T00:52:40"/>
    <n v="3.6574074074074071E-2"/>
    <n v="1"/>
    <n v="52.666666666666664"/>
    <m/>
    <s v="W45"/>
    <n v="400"/>
    <n v="90"/>
    <n v="310"/>
    <n v="0"/>
    <n v="0"/>
    <n v="310"/>
    <n v="484"/>
    <n v="8"/>
    <n v="0.79"/>
    <n v="392"/>
    <m/>
    <n v="490"/>
    <m/>
    <n v="3"/>
    <n v="490"/>
    <n v="2"/>
    <n v="2035"/>
    <n v="0"/>
    <n v="11"/>
    <x v="35"/>
    <n v="490"/>
  </r>
  <r>
    <x v="3"/>
    <x v="1"/>
    <s v="Wiveliscombe Short"/>
    <s v="John Trayler"/>
    <s v="John Trayler Short"/>
    <s v="QO"/>
    <n v="52"/>
    <n v="27"/>
    <d v="1899-12-30T00:52:27"/>
    <n v="3.6423611111111115E-2"/>
    <n v="1"/>
    <n v="52.45"/>
    <m/>
    <s v="M75"/>
    <n v="330"/>
    <n v="90"/>
    <n v="240"/>
    <n v="0"/>
    <n v="0"/>
    <n v="240"/>
    <n v="375"/>
    <n v="9"/>
    <n v="0.6"/>
    <n v="400"/>
    <m/>
    <n v="500"/>
    <m/>
    <n v="3"/>
    <n v="500"/>
    <n v="2"/>
    <n v="1775"/>
    <n v="0"/>
    <n v="10"/>
    <x v="36"/>
    <n v="500"/>
  </r>
  <r>
    <x v="3"/>
    <x v="1"/>
    <s v="Wiveliscombe Short"/>
    <s v="Andy Rimes"/>
    <s v="Andy Rimes Short"/>
    <s v="QO"/>
    <m/>
    <m/>
    <s v=""/>
    <s v=""/>
    <n v="1.6666666666666666E-2"/>
    <e v="#VALUE!"/>
    <m/>
    <s v="M55"/>
    <m/>
    <m/>
    <n v="0"/>
    <n v="0"/>
    <n v="0"/>
    <n v="0"/>
    <n v="0"/>
    <n v="10"/>
    <n v="0.82"/>
    <n v="0"/>
    <n v="911"/>
    <n v="911"/>
    <m/>
    <n v="3"/>
    <n v="911"/>
    <n v="4"/>
    <n v="2836"/>
    <n v="0"/>
    <n v="3"/>
    <x v="14"/>
    <n v="911"/>
  </r>
  <r>
    <x v="3"/>
    <x v="1"/>
    <s v="Wiveliscombe Short"/>
    <s v="Rosie Wych"/>
    <s v="Rosie Wych Short"/>
    <s v="QO"/>
    <m/>
    <m/>
    <s v=""/>
    <s v=""/>
    <n v="1.6666666666666666E-2"/>
    <e v="#VALUE!"/>
    <m/>
    <s v="W65"/>
    <m/>
    <m/>
    <n v="0"/>
    <n v="0"/>
    <n v="0"/>
    <n v="0"/>
    <n v="0"/>
    <n v="10"/>
    <n v="0.61"/>
    <n v="0"/>
    <n v="970"/>
    <n v="970"/>
    <m/>
    <n v="3"/>
    <n v="970"/>
    <n v="4"/>
    <n v="2923"/>
    <n v="0"/>
    <n v="2"/>
    <x v="18"/>
    <n v="970"/>
  </r>
  <r>
    <x v="4"/>
    <x v="0"/>
    <s v="Taunton Wilton Long"/>
    <s v="Adam Fieldhouse"/>
    <s v="Adam Fieldhouse Long"/>
    <s v="QO"/>
    <n v="50"/>
    <n v="1"/>
    <d v="1899-12-30T00:50:01"/>
    <n v="3.4733796296296297E-2"/>
    <n v="1"/>
    <n v="50.016666666666666"/>
    <m/>
    <s v="M21"/>
    <n v="980"/>
    <n v="30"/>
    <n v="950"/>
    <n v="0"/>
    <n v="0"/>
    <n v="950"/>
    <n v="1000"/>
    <n v="1"/>
    <n v="1"/>
    <n v="950"/>
    <m/>
    <n v="831"/>
    <m/>
    <n v="3"/>
    <n v="831"/>
    <n v="4"/>
    <n v="2719"/>
    <n v="0"/>
    <n v="5"/>
    <x v="22"/>
    <n v="831"/>
  </r>
  <r>
    <x v="4"/>
    <x v="0"/>
    <s v="Taunton Wilton Long"/>
    <s v="Matt Atkins"/>
    <s v="Matt Atkins Long"/>
    <s v="Devon"/>
    <n v="46"/>
    <n v="39"/>
    <d v="1899-12-30T00:46:39"/>
    <n v="3.2395833333333332E-2"/>
    <n v="1"/>
    <n v="46.65"/>
    <m/>
    <s v="M50"/>
    <n v="920"/>
    <m/>
    <n v="920"/>
    <n v="0"/>
    <n v="0"/>
    <n v="920"/>
    <n v="968"/>
    <n v="2"/>
    <n v="0.85"/>
    <n v="1082"/>
    <m/>
    <n v="947"/>
    <m/>
    <n v="2"/>
    <n v="947"/>
    <n v="3"/>
    <n v="2842"/>
    <n v="0"/>
    <n v="2"/>
    <x v="32"/>
    <n v="947"/>
  </r>
  <r>
    <x v="4"/>
    <x v="0"/>
    <s v="Taunton Wilton Long"/>
    <s v="Robin Fieldhouse"/>
    <s v="Robin Fieldhouse Long"/>
    <s v="QO"/>
    <n v="49"/>
    <n v="55"/>
    <d v="1899-12-30T00:49:55"/>
    <n v="3.4664351851851849E-2"/>
    <n v="1"/>
    <n v="49.916666666666664"/>
    <m/>
    <s v="M21"/>
    <n v="870"/>
    <m/>
    <n v="870"/>
    <n v="0"/>
    <n v="0"/>
    <n v="870"/>
    <n v="916"/>
    <n v="3"/>
    <n v="1"/>
    <n v="870"/>
    <m/>
    <n v="761"/>
    <m/>
    <n v="5"/>
    <s v=""/>
    <n v="5"/>
    <n v="2600"/>
    <n v="0"/>
    <n v="9"/>
    <x v="2"/>
    <s v=""/>
  </r>
  <r>
    <x v="4"/>
    <x v="0"/>
    <s v="Taunton Wilton Long"/>
    <s v="Paul Chavasse"/>
    <s v="Paul Chavasse Long"/>
    <s v="QO"/>
    <n v="51"/>
    <n v="56"/>
    <d v="1899-12-30T00:51:56"/>
    <n v="3.6064814814814813E-2"/>
    <n v="1"/>
    <n v="51.93333333333333"/>
    <m/>
    <s v="M55"/>
    <n v="910"/>
    <n v="60"/>
    <n v="850"/>
    <n v="0"/>
    <n v="0"/>
    <n v="850"/>
    <n v="895"/>
    <n v="4"/>
    <n v="0.82"/>
    <n v="1037"/>
    <m/>
    <n v="907"/>
    <m/>
    <n v="1"/>
    <n v="907"/>
    <n v="1"/>
    <n v="907"/>
    <n v="907"/>
    <n v="3"/>
    <x v="39"/>
    <n v="907"/>
  </r>
  <r>
    <x v="4"/>
    <x v="0"/>
    <s v="Taunton Wilton Long"/>
    <s v="Andy Bussell"/>
    <s v="Andy Bussell Long"/>
    <s v="QO"/>
    <n v="40"/>
    <n v="16"/>
    <d v="1899-12-30T00:40:16"/>
    <n v="2.7962962962962964E-2"/>
    <n v="1"/>
    <n v="40.266666666666666"/>
    <m/>
    <s v="M45"/>
    <n v="810"/>
    <m/>
    <n v="810"/>
    <n v="0"/>
    <n v="0"/>
    <n v="810"/>
    <n v="853"/>
    <n v="5"/>
    <n v="0.89"/>
    <n v="910"/>
    <m/>
    <n v="796"/>
    <m/>
    <n v="2"/>
    <n v="796"/>
    <n v="3"/>
    <n v="2477"/>
    <n v="0"/>
    <n v="7"/>
    <x v="5"/>
    <n v="796"/>
  </r>
  <r>
    <x v="4"/>
    <x v="0"/>
    <s v="Taunton Wilton Long"/>
    <s v="Chris Philip"/>
    <s v="Chris Philip Long"/>
    <s v="QO"/>
    <n v="46"/>
    <n v="22"/>
    <d v="1899-12-30T00:46:22"/>
    <n v="3.2199074074074074E-2"/>
    <n v="1"/>
    <n v="46.366666666666667"/>
    <m/>
    <s v="M65"/>
    <n v="800"/>
    <m/>
    <n v="800"/>
    <n v="0"/>
    <n v="0"/>
    <n v="800"/>
    <n v="842"/>
    <n v="6"/>
    <n v="0.7"/>
    <n v="1143"/>
    <m/>
    <n v="1000"/>
    <m/>
    <n v="1"/>
    <n v="1000"/>
    <n v="4"/>
    <n v="2863"/>
    <n v="0"/>
    <n v="1"/>
    <x v="28"/>
    <n v="1000"/>
  </r>
  <r>
    <x v="4"/>
    <x v="0"/>
    <s v="Taunton Wilton Long"/>
    <s v="Martin Lewis"/>
    <s v="Martin Lewis Long"/>
    <s v="QO"/>
    <n v="47"/>
    <n v="0"/>
    <d v="1899-12-30T00:47:00"/>
    <n v="3.2638888888888891E-2"/>
    <n v="1"/>
    <n v="47.000000000000007"/>
    <m/>
    <s v="M50"/>
    <n v="750"/>
    <m/>
    <n v="750"/>
    <n v="0"/>
    <n v="0"/>
    <n v="750"/>
    <n v="789"/>
    <n v="7"/>
    <n v="0.85"/>
    <n v="882"/>
    <m/>
    <n v="772"/>
    <m/>
    <n v="1"/>
    <n v="772"/>
    <n v="2"/>
    <n v="1316"/>
    <n v="0"/>
    <n v="8"/>
    <x v="10"/>
    <n v="772"/>
  </r>
  <r>
    <x v="4"/>
    <x v="0"/>
    <s v="Taunton Wilton Long"/>
    <s v="Stephen Lysaczenko"/>
    <s v="Stephen Lysaczenko Long"/>
    <s v="QO"/>
    <n v="46"/>
    <n v="26"/>
    <d v="1899-12-30T00:46:26"/>
    <n v="3.2245370370370369E-2"/>
    <n v="1"/>
    <n v="46.43333333333333"/>
    <m/>
    <s v="M55"/>
    <n v="710"/>
    <m/>
    <n v="710"/>
    <n v="0"/>
    <n v="0"/>
    <n v="710"/>
    <n v="747"/>
    <n v="8"/>
    <n v="0.82"/>
    <n v="866"/>
    <m/>
    <n v="758"/>
    <m/>
    <n v="1"/>
    <n v="758"/>
    <n v="3"/>
    <n v="1507"/>
    <n v="0"/>
    <n v="10"/>
    <x v="27"/>
    <n v="758"/>
  </r>
  <r>
    <x v="4"/>
    <x v="0"/>
    <s v="Taunton Wilton Long"/>
    <s v="Miffy Treherne"/>
    <s v="Miffy Treherne Long"/>
    <s v="QO"/>
    <n v="49"/>
    <n v="21"/>
    <d v="1899-12-30T00:49:21"/>
    <n v="3.4270833333333334E-2"/>
    <n v="1"/>
    <n v="49.35"/>
    <m/>
    <s v="W50"/>
    <n v="710"/>
    <m/>
    <n v="710"/>
    <n v="0"/>
    <n v="0"/>
    <n v="710"/>
    <n v="747"/>
    <n v="8"/>
    <n v="0.75"/>
    <n v="947"/>
    <m/>
    <n v="829"/>
    <m/>
    <n v="2"/>
    <n v="829"/>
    <n v="4"/>
    <n v="2548"/>
    <n v="0"/>
    <n v="6"/>
    <x v="8"/>
    <n v="829"/>
  </r>
  <r>
    <x v="4"/>
    <x v="0"/>
    <s v="Taunton Wilton Long"/>
    <s v="Simon St Leger-Harris"/>
    <s v="Simon St Leger-Harris Long"/>
    <s v="QO"/>
    <n v="50"/>
    <n v="21"/>
    <d v="1899-12-30T00:50:21"/>
    <n v="3.4965277777777783E-2"/>
    <n v="1"/>
    <n v="50.350000000000009"/>
    <m/>
    <s v="M65"/>
    <n v="720"/>
    <n v="30"/>
    <n v="690"/>
    <n v="0"/>
    <n v="0"/>
    <n v="690"/>
    <n v="726"/>
    <n v="10"/>
    <n v="0.7"/>
    <n v="986"/>
    <m/>
    <n v="863"/>
    <m/>
    <n v="1"/>
    <n v="863"/>
    <n v="5"/>
    <n v="2425"/>
    <n v="0"/>
    <n v="4"/>
    <x v="7"/>
    <n v="863"/>
  </r>
  <r>
    <x v="4"/>
    <x v="0"/>
    <s v="Taunton Wilton Long"/>
    <s v="Archie Fieldhouse"/>
    <s v="Archie Fieldhouse Long"/>
    <s v="Ind"/>
    <n v="49"/>
    <n v="21"/>
    <d v="1899-12-30T00:49:21"/>
    <n v="3.4270833333333334E-2"/>
    <n v="1"/>
    <n v="49.35"/>
    <m/>
    <s v="M21"/>
    <n v="350"/>
    <m/>
    <n v="350"/>
    <n v="0"/>
    <n v="0"/>
    <n v="350"/>
    <n v="368"/>
    <n v="11"/>
    <n v="1"/>
    <n v="350"/>
    <m/>
    <n v="306"/>
    <m/>
    <n v="1"/>
    <s v=""/>
    <n v="1"/>
    <n v="0"/>
    <n v="0"/>
    <n v="12"/>
    <x v="40"/>
    <s v=""/>
  </r>
  <r>
    <x v="4"/>
    <x v="0"/>
    <s v="Taunton Wilton Long"/>
    <s v="Brian Pearson"/>
    <s v="Brian Pearson Long"/>
    <s v="QO"/>
    <m/>
    <m/>
    <s v=""/>
    <s v=""/>
    <n v="1.6666666666666666E-2"/>
    <e v="#VALUE!"/>
    <m/>
    <s v="M60"/>
    <m/>
    <m/>
    <n v="0"/>
    <n v="0"/>
    <n v="0"/>
    <n v="0"/>
    <n v="0"/>
    <n v="12"/>
    <n v="0.76"/>
    <n v="0"/>
    <n v="680"/>
    <n v="680"/>
    <m/>
    <n v="2"/>
    <n v="680"/>
    <n v="3"/>
    <n v="2039"/>
    <n v="0"/>
    <n v="11"/>
    <x v="9"/>
    <n v="680"/>
  </r>
  <r>
    <x v="4"/>
    <x v="1"/>
    <s v="Taunton Wilton Short"/>
    <s v="Steve Robertson"/>
    <s v="Steve Robertson Short"/>
    <s v="QO"/>
    <n v="47"/>
    <n v="56"/>
    <d v="1899-12-30T00:47:56"/>
    <n v="3.3287037037037039E-2"/>
    <n v="1"/>
    <n v="47.933333333333337"/>
    <m/>
    <s v="M65"/>
    <n v="970"/>
    <m/>
    <n v="970"/>
    <n v="0"/>
    <n v="0"/>
    <n v="970"/>
    <n v="1000"/>
    <n v="1"/>
    <n v="0.7"/>
    <n v="1386"/>
    <m/>
    <n v="1000"/>
    <m/>
    <n v="1"/>
    <n v="1000"/>
    <n v="2"/>
    <n v="1989"/>
    <n v="0"/>
    <n v="1"/>
    <x v="34"/>
    <n v="1000"/>
  </r>
  <r>
    <x v="4"/>
    <x v="1"/>
    <s v="Taunton Wilton Short"/>
    <s v="Andy Rimes"/>
    <s v="Andy Rimes Short"/>
    <s v="QO"/>
    <n v="46"/>
    <n v="37"/>
    <d v="1899-12-30T00:46:37"/>
    <n v="3.2372685185185185E-2"/>
    <n v="1"/>
    <n v="46.616666666666667"/>
    <m/>
    <s v="M55"/>
    <n v="960"/>
    <m/>
    <n v="960"/>
    <n v="0"/>
    <n v="0"/>
    <n v="960"/>
    <n v="990"/>
    <n v="2"/>
    <n v="0.82"/>
    <n v="1171"/>
    <m/>
    <n v="845"/>
    <m/>
    <n v="5"/>
    <s v=""/>
    <n v="5"/>
    <n v="2836"/>
    <n v="0"/>
    <n v="4"/>
    <x v="14"/>
    <s v=""/>
  </r>
  <r>
    <x v="4"/>
    <x v="1"/>
    <s v="Taunton Wilton Short"/>
    <s v="Ray Toomer"/>
    <s v="Ray Toomer Short"/>
    <s v="QO"/>
    <n v="47"/>
    <n v="12"/>
    <d v="1899-12-30T00:47:12"/>
    <n v="3.2777777777777781E-2"/>
    <n v="1"/>
    <n v="47.2"/>
    <m/>
    <s v="M65"/>
    <n v="910"/>
    <m/>
    <n v="910"/>
    <n v="0"/>
    <n v="0"/>
    <n v="910"/>
    <n v="938"/>
    <n v="3"/>
    <n v="0.7"/>
    <n v="1300"/>
    <m/>
    <n v="938"/>
    <m/>
    <n v="4"/>
    <s v=""/>
    <n v="5"/>
    <n v="3000"/>
    <n v="0"/>
    <n v="3"/>
    <x v="17"/>
    <s v=""/>
  </r>
  <r>
    <x v="4"/>
    <x v="1"/>
    <s v="Taunton Wilton Short"/>
    <s v="Vikki Page"/>
    <s v="Vikki Page Short"/>
    <s v="QO"/>
    <n v="47"/>
    <n v="46"/>
    <d v="1899-12-30T00:47:46"/>
    <n v="3.3171296296296296E-2"/>
    <n v="1"/>
    <n v="47.766666666666666"/>
    <m/>
    <s v="W45"/>
    <n v="850"/>
    <m/>
    <n v="850"/>
    <n v="0"/>
    <n v="0"/>
    <n v="850"/>
    <n v="876"/>
    <n v="4"/>
    <n v="0.79"/>
    <n v="1076"/>
    <m/>
    <n v="776"/>
    <m/>
    <n v="1"/>
    <n v="776"/>
    <n v="3"/>
    <n v="2035"/>
    <n v="0"/>
    <n v="6"/>
    <x v="35"/>
    <n v="776"/>
  </r>
  <r>
    <x v="4"/>
    <x v="1"/>
    <s v="Taunton Wilton Short"/>
    <s v="Alasdair Shaw"/>
    <s v="Alasdair Shaw Short"/>
    <s v="QO"/>
    <n v="46"/>
    <n v="40"/>
    <d v="1899-12-30T00:46:40"/>
    <n v="3.2407407407407406E-2"/>
    <n v="1"/>
    <n v="46.666666666666657"/>
    <m/>
    <s v="M40"/>
    <n v="840"/>
    <m/>
    <n v="840"/>
    <n v="0"/>
    <n v="0"/>
    <n v="840"/>
    <n v="866"/>
    <n v="5"/>
    <n v="0.93"/>
    <n v="903"/>
    <m/>
    <n v="652"/>
    <m/>
    <n v="5"/>
    <s v=""/>
    <n v="5"/>
    <n v="2495"/>
    <n v="0"/>
    <n v="8"/>
    <x v="21"/>
    <s v=""/>
  </r>
  <r>
    <x v="4"/>
    <x v="1"/>
    <s v="Taunton Wilton Short"/>
    <s v="Rosie Wych"/>
    <s v="Rosie Wych Short"/>
    <s v="QO"/>
    <n v="48"/>
    <n v="47"/>
    <d v="1899-12-30T00:48:47"/>
    <n v="3.3877314814814811E-2"/>
    <n v="1"/>
    <n v="48.783333333333324"/>
    <m/>
    <s v="W65"/>
    <n v="830"/>
    <m/>
    <n v="830"/>
    <n v="0"/>
    <n v="0"/>
    <n v="830"/>
    <n v="856"/>
    <n v="6"/>
    <n v="0.61"/>
    <n v="1361"/>
    <m/>
    <n v="982"/>
    <m/>
    <n v="1"/>
    <n v="982"/>
    <n v="4"/>
    <n v="2923"/>
    <n v="0"/>
    <n v="2"/>
    <x v="18"/>
    <n v="982"/>
  </r>
  <r>
    <x v="4"/>
    <x v="1"/>
    <s v="Taunton Wilton Short"/>
    <s v="Roger Craddock"/>
    <s v="Roger Craddock Short"/>
    <s v="QO"/>
    <n v="50"/>
    <n v="0"/>
    <d v="1899-12-30T00:50:00"/>
    <n v="3.4722222222222224E-2"/>
    <n v="1"/>
    <n v="50"/>
    <m/>
    <s v="M80"/>
    <n v="630"/>
    <m/>
    <n v="630"/>
    <n v="0"/>
    <n v="0"/>
    <n v="630"/>
    <n v="649"/>
    <n v="7"/>
    <n v="0.55000000000000004"/>
    <n v="1145"/>
    <m/>
    <n v="826"/>
    <m/>
    <n v="1"/>
    <n v="826"/>
    <n v="4"/>
    <n v="2260"/>
    <n v="0"/>
    <n v="5"/>
    <x v="30"/>
    <n v="826"/>
  </r>
  <r>
    <x v="4"/>
    <x v="1"/>
    <s v="Taunton Wilton Short"/>
    <s v="John Trayler"/>
    <s v="John Trayler Short"/>
    <s v="QO"/>
    <n v="45"/>
    <n v="13"/>
    <d v="1899-12-30T00:45:13"/>
    <n v="3.1400462962962963E-2"/>
    <n v="1"/>
    <n v="45.216666666666669"/>
    <m/>
    <s v="M75"/>
    <n v="570"/>
    <m/>
    <n v="570"/>
    <n v="0"/>
    <n v="0"/>
    <n v="570"/>
    <n v="588"/>
    <n v="8"/>
    <n v="0.6"/>
    <n v="950"/>
    <m/>
    <n v="685"/>
    <m/>
    <n v="1"/>
    <n v="685"/>
    <n v="3"/>
    <n v="1775"/>
    <n v="0"/>
    <n v="7"/>
    <x v="36"/>
    <n v="685"/>
  </r>
  <r>
    <x v="4"/>
    <x v="1"/>
    <s v="Taunton Wilton Short"/>
    <s v="Vicky Fieldhouse"/>
    <s v="Vicky Fieldhouse Short"/>
    <s v="Ind"/>
    <n v="48"/>
    <n v="52"/>
    <d v="1899-12-30T00:48:52"/>
    <n v="3.3935185185185186E-2"/>
    <n v="1"/>
    <n v="48.866666666666674"/>
    <m/>
    <s v="W55"/>
    <n v="510"/>
    <m/>
    <n v="510"/>
    <n v="0"/>
    <n v="0"/>
    <n v="510"/>
    <n v="526"/>
    <n v="9"/>
    <n v="0.7"/>
    <n v="729"/>
    <m/>
    <n v="526"/>
    <m/>
    <n v="1"/>
    <s v=""/>
    <n v="2"/>
    <n v="0"/>
    <n v="0"/>
    <n v="9"/>
    <x v="38"/>
    <s v=""/>
  </r>
  <r>
    <x v="4"/>
    <x v="1"/>
    <s v="Taunton Wilton Short"/>
    <s v="Sarah Rimes"/>
    <s v="Sarah Rimes Short"/>
    <s v="Ind"/>
    <n v="55"/>
    <n v="32"/>
    <d v="1899-12-30T00:55:32"/>
    <n v="3.8564814814814816E-2"/>
    <n v="1"/>
    <n v="55.533333333333331"/>
    <m/>
    <s v="W30"/>
    <n v="660"/>
    <n v="180"/>
    <n v="480"/>
    <n v="0"/>
    <n v="0"/>
    <n v="480"/>
    <n v="495"/>
    <n v="10"/>
    <n v="0.87"/>
    <n v="552"/>
    <m/>
    <n v="398"/>
    <m/>
    <n v="1"/>
    <s v=""/>
    <n v="2"/>
    <n v="0"/>
    <n v="0"/>
    <n v="10"/>
    <x v="37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A214A-DA8D-4970-885E-9949F7EF14E1}" name="PivotTable3" cacheId="1" applyNumberFormats="0" applyBorderFormats="0" applyFontFormats="0" applyPatternFormats="0" applyAlignmentFormats="0" applyWidthHeightFormats="1" dataCaption="Values" updatedVersion="7" minRefreshableVersion="3" rowGrandTotals="0" itemPrintTitles="1" createdVersion="6" indent="0" outline="1" outlineData="1" multipleFieldFilters="0">
  <location ref="A46:B47" firstHeaderRow="1" firstDataRow="2" firstDataCol="1"/>
  <pivotFields count="35">
    <pivotField axis="axisCol" showAll="0">
      <items count="11">
        <item h="1" m="1" x="2"/>
        <item m="1" x="9"/>
        <item m="1" x="4"/>
        <item h="1" m="1" x="6"/>
        <item h="1" m="1" x="8"/>
        <item h="1" m="1" x="7"/>
        <item h="1" m="1" x="1"/>
        <item h="1" m="1" x="3"/>
        <item h="1" m="1" x="5"/>
        <item h="1" x="0"/>
        <item t="default"/>
      </items>
    </pivotField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dataField="1" showAll="0"/>
    <pivotField showAll="0"/>
    <pivotField showAll="0"/>
    <pivotField numFmtId="165" showAll="0"/>
    <pivotField showAll="0"/>
    <pivotField numFmtId="165" showAll="0"/>
    <pivotField numFmtId="165" showAll="0"/>
    <pivotField showAll="0"/>
    <pivotField axis="axisRow" showAll="0" sortType="descending">
      <items count="84">
        <item m="1" x="29"/>
        <item m="1" x="25"/>
        <item m="1" x="32"/>
        <item m="1" x="57"/>
        <item x="4"/>
        <item m="1" x="59"/>
        <item m="1" x="28"/>
        <item m="1" x="80"/>
        <item m="1" x="69"/>
        <item x="10"/>
        <item m="1" x="61"/>
        <item x="17"/>
        <item m="1" x="65"/>
        <item m="1" x="23"/>
        <item m="1" x="75"/>
        <item m="1" x="56"/>
        <item m="1" x="50"/>
        <item m="1" x="82"/>
        <item m="1" x="21"/>
        <item m="1" x="46"/>
        <item m="1" x="74"/>
        <item x="6"/>
        <item m="1" x="81"/>
        <item m="1" x="26"/>
        <item m="1" x="47"/>
        <item m="1" x="76"/>
        <item m="1" x="22"/>
        <item m="1" x="33"/>
        <item x="14"/>
        <item x="11"/>
        <item m="1" x="63"/>
        <item m="1" x="48"/>
        <item m="1" x="70"/>
        <item m="1" x="27"/>
        <item m="1" x="68"/>
        <item m="1" x="62"/>
        <item m="1" x="40"/>
        <item m="1" x="24"/>
        <item m="1" x="44"/>
        <item m="1" x="64"/>
        <item m="1" x="73"/>
        <item m="1" x="55"/>
        <item m="1" x="42"/>
        <item x="3"/>
        <item m="1" x="36"/>
        <item m="1" x="53"/>
        <item m="1" x="35"/>
        <item m="1" x="71"/>
        <item m="1" x="58"/>
        <item m="1" x="45"/>
        <item m="1" x="34"/>
        <item m="1" x="52"/>
        <item m="1" x="60"/>
        <item m="1" x="39"/>
        <item m="1" x="41"/>
        <item m="1" x="38"/>
        <item m="1" x="67"/>
        <item m="1" x="78"/>
        <item m="1" x="51"/>
        <item m="1" x="72"/>
        <item m="1" x="43"/>
        <item m="1" x="54"/>
        <item x="18"/>
        <item m="1" x="30"/>
        <item m="1" x="79"/>
        <item m="1" x="77"/>
        <item m="1" x="49"/>
        <item m="1" x="37"/>
        <item m="1" x="31"/>
        <item m="1" x="66"/>
        <item x="0"/>
        <item x="1"/>
        <item x="2"/>
        <item x="5"/>
        <item x="7"/>
        <item x="8"/>
        <item x="9"/>
        <item x="12"/>
        <item x="13"/>
        <item x="15"/>
        <item x="16"/>
        <item x="19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33"/>
  </rowFields>
  <colFields count="1">
    <field x="0"/>
  </colFields>
  <colItems count="1">
    <i t="grand">
      <x/>
    </i>
  </colItems>
  <dataFields count="1">
    <dataField name="Sum of Handicap score" fld="25" baseField="0" baseItem="0"/>
  </dataField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E76FBB-3015-4CE8-A0F3-A301352789E5}" name="PivotTable1" cacheId="1" applyNumberFormats="0" applyBorderFormats="0" applyFontFormats="0" applyPatternFormats="0" applyAlignmentFormats="0" applyWidthHeightFormats="1" dataCaption="Values" updatedVersion="7" minRefreshableVersion="3" rowGrandTotals="0" itemPrintTitles="1" createdVersion="6" indent="0" outline="1" outlineData="1" multipleFieldFilters="0" rowHeaderCaption=" Runner">
  <location ref="A9:B10" firstHeaderRow="1" firstDataRow="2" firstDataCol="1"/>
  <pivotFields count="35">
    <pivotField axis="axisCol" showAll="0">
      <items count="11">
        <item h="1" m="1" x="2"/>
        <item m="1" x="9"/>
        <item m="1" x="4"/>
        <item m="1" x="6"/>
        <item h="1" m="1" x="8"/>
        <item h="1" m="1" x="7"/>
        <item h="1" m="1" x="1"/>
        <item h="1" m="1" x="3"/>
        <item h="1" m="1" x="5"/>
        <item h="1" x="0"/>
        <item t="default"/>
      </items>
    </pivotField>
    <pivotField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dataField="1" showAll="0"/>
    <pivotField showAll="0"/>
    <pivotField showAll="0"/>
    <pivotField numFmtId="165" showAll="0"/>
    <pivotField showAll="0"/>
    <pivotField numFmtId="165" showAll="0"/>
    <pivotField numFmtId="165" showAll="0"/>
    <pivotField showAll="0"/>
    <pivotField axis="axisRow" showAll="0" sortType="descending">
      <items count="84">
        <item m="1" x="29"/>
        <item m="1" x="25"/>
        <item m="1" x="32"/>
        <item m="1" x="57"/>
        <item x="4"/>
        <item m="1" x="59"/>
        <item m="1" x="28"/>
        <item m="1" x="80"/>
        <item m="1" x="69"/>
        <item x="10"/>
        <item m="1" x="61"/>
        <item x="17"/>
        <item m="1" x="65"/>
        <item m="1" x="23"/>
        <item m="1" x="75"/>
        <item m="1" x="56"/>
        <item m="1" x="50"/>
        <item m="1" x="82"/>
        <item m="1" x="21"/>
        <item m="1" x="46"/>
        <item m="1" x="74"/>
        <item x="6"/>
        <item m="1" x="81"/>
        <item m="1" x="26"/>
        <item m="1" x="47"/>
        <item m="1" x="76"/>
        <item m="1" x="22"/>
        <item m="1" x="33"/>
        <item x="14"/>
        <item x="11"/>
        <item m="1" x="63"/>
        <item m="1" x="48"/>
        <item m="1" x="70"/>
        <item m="1" x="27"/>
        <item m="1" x="68"/>
        <item m="1" x="62"/>
        <item m="1" x="40"/>
        <item m="1" x="24"/>
        <item m="1" x="44"/>
        <item m="1" x="64"/>
        <item m="1" x="73"/>
        <item m="1" x="55"/>
        <item m="1" x="42"/>
        <item x="3"/>
        <item m="1" x="36"/>
        <item m="1" x="53"/>
        <item m="1" x="35"/>
        <item m="1" x="71"/>
        <item m="1" x="58"/>
        <item m="1" x="45"/>
        <item m="1" x="34"/>
        <item m="1" x="52"/>
        <item m="1" x="60"/>
        <item m="1" x="39"/>
        <item m="1" x="41"/>
        <item m="1" x="38"/>
        <item m="1" x="67"/>
        <item m="1" x="78"/>
        <item m="1" x="51"/>
        <item m="1" x="72"/>
        <item m="1" x="43"/>
        <item m="1" x="54"/>
        <item x="18"/>
        <item m="1" x="30"/>
        <item m="1" x="79"/>
        <item m="1" x="77"/>
        <item m="1" x="49"/>
        <item m="1" x="37"/>
        <item m="1" x="31"/>
        <item m="1" x="66"/>
        <item x="0"/>
        <item x="1"/>
        <item x="2"/>
        <item x="5"/>
        <item x="7"/>
        <item x="8"/>
        <item x="9"/>
        <item x="12"/>
        <item x="13"/>
        <item x="15"/>
        <item x="16"/>
        <item x="19"/>
        <item x="2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33"/>
  </rowFields>
  <colFields count="1">
    <field x="0"/>
  </colFields>
  <colItems count="1">
    <i t="grand">
      <x/>
    </i>
  </colItems>
  <dataFields count="1">
    <dataField name="Sum of Handicap score" fld="25" baseField="0" baseItem="0"/>
  </dataField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5ED30B-FA61-4D0A-97B8-6A40CD42C935}" name="PivotTable1" cacheId="11" applyNumberFormats="0" applyBorderFormats="0" applyFontFormats="0" applyPatternFormats="0" applyAlignmentFormats="0" applyWidthHeightFormats="1" dataCaption="Values" grandTotalCaption=" Total" updatedVersion="7" minRefreshableVersion="3" useAutoFormatting="1" rowGrandTotals="0" itemPrintTitles="1" createdVersion="6" indent="0" outline="1" outlineData="1" multipleFieldFilters="0" rowHeaderCaption="Name - Club - Class">
  <location ref="B7:H29" firstHeaderRow="1" firstDataRow="2" firstDataCol="1" rowPageCount="1" colPageCount="1"/>
  <pivotFields count="35">
    <pivotField axis="axisCol" showAll="0">
      <items count="6">
        <item x="0"/>
        <item x="1"/>
        <item x="2"/>
        <item x="3"/>
        <item x="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dataField="1" numFmtId="165" showAll="0"/>
    <pivotField showAll="0"/>
    <pivotField numFmtId="165" showAll="0"/>
    <pivotField numFmtId="165" showAll="0"/>
    <pivotField showAll="0"/>
    <pivotField axis="axisRow" showAll="0" measureFilter="1" sortType="descending">
      <items count="52">
        <item x="27"/>
        <item x="17"/>
        <item x="6"/>
        <item x="10"/>
        <item m="1" x="45"/>
        <item x="11"/>
        <item x="4"/>
        <item x="24"/>
        <item x="14"/>
        <item x="21"/>
        <item x="3"/>
        <item m="1" x="42"/>
        <item x="18"/>
        <item x="0"/>
        <item x="1"/>
        <item x="2"/>
        <item x="5"/>
        <item x="7"/>
        <item x="8"/>
        <item x="9"/>
        <item x="12"/>
        <item x="13"/>
        <item x="15"/>
        <item x="16"/>
        <item x="19"/>
        <item x="20"/>
        <item x="22"/>
        <item m="1" x="50"/>
        <item x="25"/>
        <item m="1" x="46"/>
        <item x="23"/>
        <item m="1" x="41"/>
        <item x="31"/>
        <item x="32"/>
        <item x="33"/>
        <item x="28"/>
        <item m="1" x="48"/>
        <item x="26"/>
        <item x="34"/>
        <item x="35"/>
        <item x="36"/>
        <item x="30"/>
        <item x="37"/>
        <item m="1" x="44"/>
        <item x="38"/>
        <item x="29"/>
        <item m="1" x="47"/>
        <item x="39"/>
        <item m="1" x="49"/>
        <item m="1" x="43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33"/>
  </rowFields>
  <rowItems count="21">
    <i>
      <x v="35"/>
    </i>
    <i>
      <x v="13"/>
    </i>
    <i>
      <x v="33"/>
    </i>
    <i>
      <x v="26"/>
    </i>
    <i>
      <x v="15"/>
    </i>
    <i>
      <x v="18"/>
    </i>
    <i>
      <x v="16"/>
    </i>
    <i>
      <x v="17"/>
    </i>
    <i>
      <x v="19"/>
    </i>
    <i>
      <x v="32"/>
    </i>
    <i>
      <x v="2"/>
    </i>
    <i>
      <x/>
    </i>
    <i>
      <x v="3"/>
    </i>
    <i>
      <x v="30"/>
    </i>
    <i>
      <x v="10"/>
    </i>
    <i>
      <x v="37"/>
    </i>
    <i>
      <x v="47"/>
    </i>
    <i>
      <x v="6"/>
    </i>
    <i>
      <x v="7"/>
    </i>
    <i>
      <x v="5"/>
    </i>
    <i>
      <x v="20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1" item="0" hier="-1"/>
  </pageFields>
  <dataFields count="1">
    <dataField name="Sum of Handicap to count" fld="28" baseField="32" baseItem="36" numFmtId="165"/>
  </dataFields>
  <formats count="2">
    <format dxfId="85">
      <pivotArea field="33" type="button" dataOnly="0" labelOnly="1" outline="0" axis="axisRow" fieldPosition="0"/>
    </format>
    <format dxfId="84">
      <pivotArea dataOnly="0" labelOnly="1" grandCol="1" outline="0" fieldPosition="0"/>
    </format>
  </formats>
  <pivotTableStyleInfo name="PivotStyleMedium18" showRowHeaders="1" showColHeaders="1" showRowStripes="0" showColStripes="0" showLastColumn="1"/>
  <filters count="1">
    <filter fld="33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AE2B6C-14A7-4A42-96C3-E874A8F137C2}" name="PivotTable2" cacheId="11" applyNumberFormats="0" applyBorderFormats="0" applyFontFormats="0" applyPatternFormats="0" applyAlignmentFormats="0" applyWidthHeightFormats="1" dataCaption="Values" grandTotalCaption=" Total" updatedVersion="7" minRefreshableVersion="3" rowGrandTotals="0" itemPrintTitles="1" createdVersion="6" indent="0" outline="1" outlineData="1" multipleFieldFilters="0" rowHeaderCaption="Names - Club - Class">
  <location ref="B34:H49" firstHeaderRow="1" firstDataRow="2" firstDataCol="1" rowPageCount="1" colPageCount="1"/>
  <pivotFields count="35">
    <pivotField axis="axisCol" showAll="0">
      <items count="6">
        <item x="0"/>
        <item x="1"/>
        <item x="2"/>
        <item x="3"/>
        <item x="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dataField="1" numFmtId="165" showAll="0"/>
    <pivotField showAll="0"/>
    <pivotField numFmtId="165" showAll="0"/>
    <pivotField numFmtId="165" showAll="0"/>
    <pivotField showAll="0"/>
    <pivotField axis="axisRow" showAll="0" measureFilter="1" sortType="descending">
      <items count="52">
        <item x="21"/>
        <item x="14"/>
        <item x="24"/>
        <item x="4"/>
        <item x="11"/>
        <item m="1" x="45"/>
        <item x="10"/>
        <item x="6"/>
        <item x="17"/>
        <item x="27"/>
        <item x="3"/>
        <item m="1" x="42"/>
        <item x="18"/>
        <item x="0"/>
        <item x="1"/>
        <item x="2"/>
        <item x="5"/>
        <item x="7"/>
        <item x="8"/>
        <item x="9"/>
        <item x="12"/>
        <item x="13"/>
        <item x="15"/>
        <item x="16"/>
        <item x="19"/>
        <item x="20"/>
        <item x="22"/>
        <item m="1" x="50"/>
        <item x="25"/>
        <item m="1" x="46"/>
        <item x="23"/>
        <item m="1" x="41"/>
        <item x="31"/>
        <item x="32"/>
        <item x="33"/>
        <item x="28"/>
        <item m="1" x="48"/>
        <item x="26"/>
        <item x="34"/>
        <item x="35"/>
        <item x="36"/>
        <item x="30"/>
        <item x="37"/>
        <item m="1" x="44"/>
        <item x="38"/>
        <item x="29"/>
        <item m="1" x="47"/>
        <item x="39"/>
        <item m="1" x="49"/>
        <item m="1" x="43"/>
        <item x="4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33"/>
  </rowFields>
  <rowItems count="14">
    <i>
      <x v="8"/>
    </i>
    <i>
      <x v="12"/>
    </i>
    <i>
      <x v="1"/>
    </i>
    <i>
      <x/>
    </i>
    <i>
      <x v="41"/>
    </i>
    <i>
      <x v="39"/>
    </i>
    <i>
      <x v="38"/>
    </i>
    <i>
      <x v="25"/>
    </i>
    <i>
      <x v="40"/>
    </i>
    <i>
      <x v="22"/>
    </i>
    <i>
      <x v="45"/>
    </i>
    <i>
      <x v="18"/>
    </i>
    <i>
      <x v="23"/>
    </i>
    <i>
      <x v="24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1" item="1" hier="-1"/>
  </pageFields>
  <dataFields count="1">
    <dataField name="Sum of Handicap to count" fld="28" baseField="32" baseItem="36" numFmtId="165"/>
  </dataFields>
  <pivotTableStyleInfo name="PivotStyleMedium9" showRowHeaders="1" showColHeaders="1" showRowStripes="0" showColStripes="0" showLastColumn="1"/>
  <filters count="1">
    <filter fld="33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mastersathletics.net/index.php?id=2595" TargetMode="External"/><Relationship Id="rId1" Type="http://schemas.openxmlformats.org/officeDocument/2006/relationships/hyperlink" Target="http://misweb.cbi.msstate.edu/~rpearson/mendist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AFA4-ACA4-4140-9EE4-33E06A7EF2F1}">
  <dimension ref="A1:N47"/>
  <sheetViews>
    <sheetView topLeftCell="A25" workbookViewId="0">
      <selection activeCell="B48" sqref="B48"/>
    </sheetView>
  </sheetViews>
  <sheetFormatPr defaultRowHeight="15" x14ac:dyDescent="0.25"/>
  <cols>
    <col min="1" max="1" width="30.28515625" bestFit="1" customWidth="1"/>
    <col min="2" max="2" width="16.28515625" bestFit="1" customWidth="1"/>
    <col min="3" max="3" width="6.5703125" bestFit="1" customWidth="1"/>
    <col min="4" max="5" width="11.28515625" bestFit="1" customWidth="1"/>
    <col min="6" max="6" width="11.28515625" customWidth="1"/>
    <col min="7" max="7" width="30.28515625" bestFit="1" customWidth="1"/>
    <col min="8" max="9" width="11.28515625" customWidth="1"/>
    <col min="10" max="10" width="11.28515625" bestFit="1" customWidth="1"/>
  </cols>
  <sheetData>
    <row r="1" spans="1:14" x14ac:dyDescent="0.25">
      <c r="A1" s="1" t="s">
        <v>81</v>
      </c>
    </row>
    <row r="2" spans="1:14" x14ac:dyDescent="0.25">
      <c r="A2" s="1" t="s">
        <v>82</v>
      </c>
      <c r="J2" s="13" t="s">
        <v>86</v>
      </c>
    </row>
    <row r="3" spans="1:14" x14ac:dyDescent="0.25">
      <c r="A3" s="1" t="s">
        <v>83</v>
      </c>
    </row>
    <row r="4" spans="1:14" x14ac:dyDescent="0.25">
      <c r="A4" t="s">
        <v>84</v>
      </c>
    </row>
    <row r="5" spans="1:14" x14ac:dyDescent="0.25">
      <c r="A5" s="1"/>
    </row>
    <row r="9" spans="1:14" x14ac:dyDescent="0.25">
      <c r="A9" s="12" t="s">
        <v>60</v>
      </c>
      <c r="B9" s="12" t="s">
        <v>59</v>
      </c>
    </row>
    <row r="10" spans="1:14" x14ac:dyDescent="0.25">
      <c r="A10" s="12" t="s">
        <v>87</v>
      </c>
      <c r="B10" t="s">
        <v>58</v>
      </c>
      <c r="G10" s="18" t="s">
        <v>87</v>
      </c>
      <c r="H10" s="18" t="s">
        <v>44</v>
      </c>
      <c r="I10" s="18" t="s">
        <v>46</v>
      </c>
      <c r="J10" s="18" t="s">
        <v>47</v>
      </c>
      <c r="K10" s="18" t="s">
        <v>58</v>
      </c>
      <c r="L10" s="20"/>
      <c r="M10" s="20"/>
    </row>
    <row r="11" spans="1:14" x14ac:dyDescent="0.25">
      <c r="G11" s="21" t="s">
        <v>65</v>
      </c>
      <c r="H11" s="22">
        <v>1000</v>
      </c>
      <c r="I11" s="22">
        <v>1000</v>
      </c>
      <c r="J11" s="22">
        <v>0</v>
      </c>
      <c r="K11" s="22">
        <v>2000</v>
      </c>
      <c r="L11" s="17"/>
      <c r="M11" s="17"/>
      <c r="N11" s="16"/>
    </row>
    <row r="12" spans="1:14" x14ac:dyDescent="0.25">
      <c r="G12" s="21" t="s">
        <v>72</v>
      </c>
      <c r="H12" s="22">
        <v>0</v>
      </c>
      <c r="I12" s="22">
        <v>861</v>
      </c>
      <c r="J12" s="22">
        <v>830</v>
      </c>
      <c r="K12" s="22">
        <v>1691</v>
      </c>
      <c r="L12" s="17"/>
      <c r="M12" s="17"/>
      <c r="N12" s="16"/>
    </row>
    <row r="13" spans="1:14" x14ac:dyDescent="0.25">
      <c r="G13" s="21" t="s">
        <v>66</v>
      </c>
      <c r="H13" s="22">
        <v>863</v>
      </c>
      <c r="I13" s="22">
        <v>817</v>
      </c>
      <c r="J13" s="22">
        <v>0</v>
      </c>
      <c r="K13" s="22">
        <v>1680</v>
      </c>
      <c r="L13" s="17"/>
      <c r="M13" s="17"/>
      <c r="N13" s="16"/>
    </row>
    <row r="14" spans="1:14" x14ac:dyDescent="0.25">
      <c r="G14" s="21" t="s">
        <v>63</v>
      </c>
      <c r="H14" s="22">
        <v>812</v>
      </c>
      <c r="I14" s="22">
        <v>853</v>
      </c>
      <c r="J14" s="22">
        <v>0</v>
      </c>
      <c r="K14" s="22">
        <v>1665</v>
      </c>
      <c r="L14" s="17"/>
      <c r="M14" s="17"/>
      <c r="N14" s="16"/>
    </row>
    <row r="15" spans="1:14" x14ac:dyDescent="0.25">
      <c r="G15" s="21" t="s">
        <v>69</v>
      </c>
      <c r="H15" s="22">
        <v>0</v>
      </c>
      <c r="I15" s="22">
        <v>697</v>
      </c>
      <c r="J15" s="22">
        <v>636</v>
      </c>
      <c r="K15" s="22">
        <v>1333</v>
      </c>
      <c r="L15" s="17"/>
      <c r="M15" s="17"/>
      <c r="N15" s="16"/>
    </row>
    <row r="16" spans="1:14" x14ac:dyDescent="0.25">
      <c r="G16" s="21" t="s">
        <v>67</v>
      </c>
      <c r="H16" s="22">
        <v>0</v>
      </c>
      <c r="I16" s="22">
        <v>675</v>
      </c>
      <c r="J16" s="22">
        <v>624</v>
      </c>
      <c r="K16" s="22">
        <v>1299</v>
      </c>
      <c r="L16" s="17"/>
      <c r="M16" s="17"/>
      <c r="N16" s="16"/>
    </row>
    <row r="17" spans="7:14" x14ac:dyDescent="0.25">
      <c r="G17" s="21" t="s">
        <v>75</v>
      </c>
      <c r="H17" s="22">
        <v>581</v>
      </c>
      <c r="I17" s="22">
        <v>697</v>
      </c>
      <c r="J17" s="22">
        <v>0</v>
      </c>
      <c r="K17" s="22">
        <v>1278</v>
      </c>
      <c r="L17" s="17"/>
      <c r="M17" s="17"/>
      <c r="N17" s="16"/>
    </row>
    <row r="18" spans="7:14" x14ac:dyDescent="0.25">
      <c r="G18" s="21" t="s">
        <v>73</v>
      </c>
      <c r="H18" s="22">
        <v>588</v>
      </c>
      <c r="I18" s="22">
        <v>635</v>
      </c>
      <c r="J18" s="22">
        <v>0</v>
      </c>
      <c r="K18" s="22">
        <v>1223</v>
      </c>
      <c r="L18" s="17"/>
      <c r="M18" s="17"/>
      <c r="N18" s="16"/>
    </row>
    <row r="19" spans="7:14" x14ac:dyDescent="0.25">
      <c r="G19" s="21" t="s">
        <v>62</v>
      </c>
      <c r="H19" s="22">
        <v>512</v>
      </c>
      <c r="I19" s="22">
        <v>0</v>
      </c>
      <c r="J19" s="22">
        <v>533</v>
      </c>
      <c r="K19" s="22">
        <v>1045</v>
      </c>
      <c r="L19" s="17"/>
      <c r="M19" s="17"/>
      <c r="N19" s="16"/>
    </row>
    <row r="20" spans="7:14" x14ac:dyDescent="0.25">
      <c r="G20" s="21" t="s">
        <v>70</v>
      </c>
      <c r="H20" s="22">
        <v>986</v>
      </c>
      <c r="I20" s="22">
        <v>0</v>
      </c>
      <c r="J20" s="22">
        <v>0</v>
      </c>
      <c r="K20" s="22">
        <v>986</v>
      </c>
      <c r="L20" s="17"/>
      <c r="M20" s="17"/>
      <c r="N20" s="16"/>
    </row>
    <row r="21" spans="7:14" x14ac:dyDescent="0.25">
      <c r="G21" s="21" t="s">
        <v>74</v>
      </c>
      <c r="H21" s="22">
        <v>0</v>
      </c>
      <c r="I21" s="22">
        <v>935</v>
      </c>
      <c r="J21" s="22">
        <v>0</v>
      </c>
      <c r="K21" s="22">
        <v>935</v>
      </c>
      <c r="L21" s="17"/>
      <c r="M21" s="17"/>
      <c r="N21" s="16"/>
    </row>
    <row r="22" spans="7:14" x14ac:dyDescent="0.25">
      <c r="G22" s="21" t="s">
        <v>92</v>
      </c>
      <c r="H22" s="22">
        <v>0</v>
      </c>
      <c r="I22" s="22">
        <v>0</v>
      </c>
      <c r="J22" s="22">
        <v>916</v>
      </c>
      <c r="K22" s="22">
        <v>916</v>
      </c>
      <c r="L22" s="17"/>
      <c r="M22" s="17"/>
      <c r="N22" s="16"/>
    </row>
    <row r="23" spans="7:14" x14ac:dyDescent="0.25">
      <c r="G23" s="21" t="s">
        <v>76</v>
      </c>
      <c r="H23" s="22">
        <v>497</v>
      </c>
      <c r="I23" s="22">
        <v>0</v>
      </c>
      <c r="J23" s="22">
        <v>418</v>
      </c>
      <c r="K23" s="22">
        <v>915</v>
      </c>
      <c r="L23" s="17"/>
      <c r="M23" s="17"/>
      <c r="N23" s="16"/>
    </row>
    <row r="24" spans="7:14" x14ac:dyDescent="0.25">
      <c r="G24" s="21" t="s">
        <v>89</v>
      </c>
      <c r="H24" s="22">
        <v>0</v>
      </c>
      <c r="I24" s="22">
        <v>0</v>
      </c>
      <c r="J24" s="22">
        <v>809</v>
      </c>
      <c r="K24" s="22">
        <v>809</v>
      </c>
      <c r="L24" s="17"/>
      <c r="M24" s="17"/>
      <c r="N24" s="16"/>
    </row>
    <row r="25" spans="7:14" x14ac:dyDescent="0.25">
      <c r="G25" s="21" t="s">
        <v>90</v>
      </c>
      <c r="H25" s="22">
        <v>0</v>
      </c>
      <c r="I25" s="22">
        <v>0</v>
      </c>
      <c r="J25" s="22">
        <v>796</v>
      </c>
      <c r="K25" s="22">
        <v>796</v>
      </c>
      <c r="L25" s="17"/>
      <c r="M25" s="17"/>
      <c r="N25" s="16"/>
    </row>
    <row r="26" spans="7:14" x14ac:dyDescent="0.25">
      <c r="G26" s="21" t="s">
        <v>64</v>
      </c>
      <c r="H26" s="22">
        <v>0</v>
      </c>
      <c r="I26" s="22">
        <v>789</v>
      </c>
      <c r="J26" s="22">
        <v>0</v>
      </c>
      <c r="K26" s="22">
        <v>789</v>
      </c>
      <c r="L26" s="17"/>
      <c r="M26" s="17"/>
      <c r="N26" s="16"/>
    </row>
    <row r="27" spans="7:14" x14ac:dyDescent="0.25">
      <c r="G27" s="21" t="s">
        <v>94</v>
      </c>
      <c r="H27" s="22">
        <v>0</v>
      </c>
      <c r="I27" s="22">
        <v>0</v>
      </c>
      <c r="J27" s="22">
        <v>777</v>
      </c>
      <c r="K27" s="22">
        <v>777</v>
      </c>
      <c r="L27" s="15"/>
      <c r="M27" s="15"/>
    </row>
    <row r="28" spans="7:14" x14ac:dyDescent="0.25">
      <c r="G28" s="21" t="s">
        <v>68</v>
      </c>
      <c r="H28" s="22">
        <v>0</v>
      </c>
      <c r="I28" s="22">
        <v>366</v>
      </c>
      <c r="J28" s="22">
        <v>402</v>
      </c>
      <c r="K28" s="22">
        <v>768</v>
      </c>
    </row>
    <row r="29" spans="7:14" x14ac:dyDescent="0.25">
      <c r="G29" s="21" t="s">
        <v>91</v>
      </c>
      <c r="H29" s="22">
        <v>0</v>
      </c>
      <c r="I29" s="22">
        <v>0</v>
      </c>
      <c r="J29" s="22">
        <v>715</v>
      </c>
      <c r="K29" s="22">
        <v>715</v>
      </c>
    </row>
    <row r="30" spans="7:14" x14ac:dyDescent="0.25">
      <c r="G30" s="21" t="s">
        <v>88</v>
      </c>
      <c r="H30" s="22">
        <v>655</v>
      </c>
      <c r="I30" s="22">
        <v>0</v>
      </c>
      <c r="J30" s="22">
        <v>0</v>
      </c>
      <c r="K30" s="22">
        <v>655</v>
      </c>
    </row>
    <row r="31" spans="7:14" x14ac:dyDescent="0.25">
      <c r="G31" s="21" t="s">
        <v>93</v>
      </c>
      <c r="H31" s="22">
        <v>0</v>
      </c>
      <c r="I31" s="22">
        <v>0</v>
      </c>
      <c r="J31" s="22">
        <v>607</v>
      </c>
      <c r="K31" s="22">
        <v>607</v>
      </c>
    </row>
    <row r="32" spans="7:14" x14ac:dyDescent="0.25">
      <c r="G32" s="21" t="s">
        <v>95</v>
      </c>
      <c r="H32" s="22">
        <v>0</v>
      </c>
      <c r="I32" s="22">
        <v>0</v>
      </c>
      <c r="J32" s="22">
        <v>435</v>
      </c>
      <c r="K32" s="22">
        <v>435</v>
      </c>
    </row>
    <row r="33" spans="1:11" x14ac:dyDescent="0.25">
      <c r="G33" s="21" t="s">
        <v>71</v>
      </c>
      <c r="H33" s="22">
        <v>0</v>
      </c>
      <c r="I33" s="22">
        <v>122</v>
      </c>
      <c r="J33" s="22">
        <v>0</v>
      </c>
      <c r="K33" s="22">
        <v>122</v>
      </c>
    </row>
    <row r="34" spans="1:11" x14ac:dyDescent="0.25">
      <c r="A34" s="13"/>
    </row>
    <row r="35" spans="1:11" x14ac:dyDescent="0.25">
      <c r="A35" s="13"/>
    </row>
    <row r="36" spans="1:11" x14ac:dyDescent="0.25">
      <c r="A36" s="13"/>
    </row>
    <row r="37" spans="1:11" x14ac:dyDescent="0.25">
      <c r="A37" s="13"/>
    </row>
    <row r="38" spans="1:11" x14ac:dyDescent="0.25">
      <c r="A38" s="13"/>
    </row>
    <row r="39" spans="1:11" x14ac:dyDescent="0.25">
      <c r="A39" s="13"/>
    </row>
    <row r="40" spans="1:11" x14ac:dyDescent="0.25">
      <c r="A40" s="13"/>
    </row>
    <row r="41" spans="1:11" x14ac:dyDescent="0.25">
      <c r="A41" s="13"/>
    </row>
    <row r="42" spans="1:11" x14ac:dyDescent="0.25">
      <c r="A42" s="14" t="s">
        <v>85</v>
      </c>
    </row>
    <row r="46" spans="1:11" x14ac:dyDescent="0.25">
      <c r="A46" s="12" t="s">
        <v>60</v>
      </c>
      <c r="B46" s="12" t="s">
        <v>59</v>
      </c>
    </row>
    <row r="47" spans="1:11" x14ac:dyDescent="0.25">
      <c r="A47" s="12" t="s">
        <v>57</v>
      </c>
      <c r="B47" t="s">
        <v>58</v>
      </c>
    </row>
  </sheetData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249A-68BA-4B51-B87C-6634913C4EFA}">
  <sheetPr>
    <pageSetUpPr fitToPage="1"/>
  </sheetPr>
  <dimension ref="A1:H49"/>
  <sheetViews>
    <sheetView tabSelected="1" workbookViewId="0">
      <selection activeCell="K5" sqref="K5"/>
    </sheetView>
  </sheetViews>
  <sheetFormatPr defaultRowHeight="15" x14ac:dyDescent="0.25"/>
  <cols>
    <col min="1" max="1" width="4.5703125" customWidth="1"/>
    <col min="2" max="2" width="29.28515625" bestFit="1" customWidth="1"/>
    <col min="3" max="3" width="17" bestFit="1" customWidth="1"/>
    <col min="4" max="4" width="8.42578125" bestFit="1" customWidth="1"/>
    <col min="5" max="5" width="10.85546875" bestFit="1" customWidth="1"/>
    <col min="6" max="6" width="13.7109375" bestFit="1" customWidth="1"/>
    <col min="7" max="7" width="14.85546875" bestFit="1" customWidth="1"/>
    <col min="8" max="8" width="5.85546875" bestFit="1" customWidth="1"/>
  </cols>
  <sheetData>
    <row r="1" spans="1:8" x14ac:dyDescent="0.25">
      <c r="A1" s="1" t="s">
        <v>181</v>
      </c>
    </row>
    <row r="2" spans="1:8" x14ac:dyDescent="0.25">
      <c r="A2" s="1" t="s">
        <v>148</v>
      </c>
    </row>
    <row r="5" spans="1:8" x14ac:dyDescent="0.25">
      <c r="B5" s="12" t="s">
        <v>2</v>
      </c>
      <c r="C5" t="s">
        <v>3</v>
      </c>
    </row>
    <row r="7" spans="1:8" x14ac:dyDescent="0.25">
      <c r="B7" s="12" t="s">
        <v>125</v>
      </c>
      <c r="C7" s="12" t="s">
        <v>59</v>
      </c>
    </row>
    <row r="8" spans="1:8" s="82" customFormat="1" x14ac:dyDescent="0.25">
      <c r="A8" s="82" t="s">
        <v>153</v>
      </c>
      <c r="B8" s="83" t="s">
        <v>136</v>
      </c>
      <c r="C8" t="s">
        <v>157</v>
      </c>
      <c r="D8" t="s">
        <v>182</v>
      </c>
      <c r="E8" t="s">
        <v>195</v>
      </c>
      <c r="F8" t="s">
        <v>209</v>
      </c>
      <c r="G8" t="s">
        <v>222</v>
      </c>
      <c r="H8" s="82" t="s">
        <v>137</v>
      </c>
    </row>
    <row r="9" spans="1:8" x14ac:dyDescent="0.25">
      <c r="A9">
        <v>1</v>
      </c>
      <c r="B9" s="13" t="s">
        <v>200</v>
      </c>
      <c r="C9" s="22"/>
      <c r="D9" s="22">
        <v>0</v>
      </c>
      <c r="E9" s="22">
        <v>963</v>
      </c>
      <c r="F9" s="22">
        <v>900</v>
      </c>
      <c r="G9" s="22">
        <v>1000</v>
      </c>
      <c r="H9" s="22">
        <v>2863</v>
      </c>
    </row>
    <row r="10" spans="1:8" x14ac:dyDescent="0.25">
      <c r="A10">
        <v>2</v>
      </c>
      <c r="B10" s="13" t="s">
        <v>174</v>
      </c>
      <c r="C10" s="22">
        <v>936</v>
      </c>
      <c r="D10" s="22">
        <v>0</v>
      </c>
      <c r="E10" s="22">
        <v>977</v>
      </c>
      <c r="F10" s="22">
        <v>945</v>
      </c>
      <c r="G10" s="22"/>
      <c r="H10" s="22">
        <v>2858</v>
      </c>
    </row>
    <row r="11" spans="1:8" x14ac:dyDescent="0.25">
      <c r="A11">
        <v>3</v>
      </c>
      <c r="B11" s="13" t="s">
        <v>201</v>
      </c>
      <c r="C11" s="22"/>
      <c r="D11" s="22"/>
      <c r="E11" s="22">
        <v>896</v>
      </c>
      <c r="F11" s="22">
        <v>999</v>
      </c>
      <c r="G11" s="22">
        <v>947</v>
      </c>
      <c r="H11" s="22">
        <v>2842</v>
      </c>
    </row>
    <row r="12" spans="1:8" x14ac:dyDescent="0.25">
      <c r="A12">
        <v>4</v>
      </c>
      <c r="B12" s="13" t="s">
        <v>191</v>
      </c>
      <c r="C12" s="22"/>
      <c r="D12" s="22">
        <v>888</v>
      </c>
      <c r="E12" s="22">
        <v>0</v>
      </c>
      <c r="F12" s="22">
        <v>1000</v>
      </c>
      <c r="G12" s="22">
        <v>831</v>
      </c>
      <c r="H12" s="22">
        <v>2719</v>
      </c>
    </row>
    <row r="13" spans="1:8" x14ac:dyDescent="0.25">
      <c r="A13">
        <v>5</v>
      </c>
      <c r="B13" s="13" t="s">
        <v>177</v>
      </c>
      <c r="C13" s="22">
        <v>782</v>
      </c>
      <c r="D13" s="22">
        <v>0</v>
      </c>
      <c r="E13" s="22">
        <v>859</v>
      </c>
      <c r="F13" s="22">
        <v>959</v>
      </c>
      <c r="G13" s="22">
        <v>0</v>
      </c>
      <c r="H13" s="22">
        <v>2600</v>
      </c>
    </row>
    <row r="14" spans="1:8" x14ac:dyDescent="0.25">
      <c r="A14">
        <v>6</v>
      </c>
      <c r="B14" s="13" t="s">
        <v>178</v>
      </c>
      <c r="C14" s="22">
        <v>0</v>
      </c>
      <c r="D14" s="22">
        <v>821</v>
      </c>
      <c r="E14" s="22">
        <v>898</v>
      </c>
      <c r="F14" s="22"/>
      <c r="G14" s="22">
        <v>829</v>
      </c>
      <c r="H14" s="22">
        <v>2548</v>
      </c>
    </row>
    <row r="15" spans="1:8" x14ac:dyDescent="0.25">
      <c r="A15">
        <v>7</v>
      </c>
      <c r="B15" s="13" t="s">
        <v>176</v>
      </c>
      <c r="C15" s="22">
        <v>792</v>
      </c>
      <c r="D15" s="22"/>
      <c r="E15" s="22">
        <v>889</v>
      </c>
      <c r="F15" s="22"/>
      <c r="G15" s="22">
        <v>796</v>
      </c>
      <c r="H15" s="22">
        <v>2477</v>
      </c>
    </row>
    <row r="16" spans="1:8" x14ac:dyDescent="0.25">
      <c r="A16">
        <v>8</v>
      </c>
      <c r="B16" s="13" t="s">
        <v>175</v>
      </c>
      <c r="C16" s="22">
        <v>818</v>
      </c>
      <c r="D16" s="22">
        <v>744</v>
      </c>
      <c r="E16" s="22">
        <v>0</v>
      </c>
      <c r="F16" s="22">
        <v>0</v>
      </c>
      <c r="G16" s="22">
        <v>863</v>
      </c>
      <c r="H16" s="22">
        <v>2425</v>
      </c>
    </row>
    <row r="17" spans="1:8" x14ac:dyDescent="0.25">
      <c r="A17">
        <v>9</v>
      </c>
      <c r="B17" s="13" t="s">
        <v>179</v>
      </c>
      <c r="C17" s="22">
        <v>652</v>
      </c>
      <c r="D17" s="22"/>
      <c r="E17" s="22">
        <v>707</v>
      </c>
      <c r="F17" s="22"/>
      <c r="G17" s="22">
        <v>680</v>
      </c>
      <c r="H17" s="22">
        <v>2039</v>
      </c>
    </row>
    <row r="18" spans="1:8" x14ac:dyDescent="0.25">
      <c r="A18">
        <v>10</v>
      </c>
      <c r="B18" s="13" t="s">
        <v>91</v>
      </c>
      <c r="C18" s="22"/>
      <c r="D18" s="22"/>
      <c r="E18" s="22">
        <v>1000</v>
      </c>
      <c r="F18" s="22">
        <v>822</v>
      </c>
      <c r="G18" s="22"/>
      <c r="H18" s="22">
        <v>1822</v>
      </c>
    </row>
    <row r="19" spans="1:8" x14ac:dyDescent="0.25">
      <c r="A19">
        <v>11</v>
      </c>
      <c r="B19" s="13" t="s">
        <v>90</v>
      </c>
      <c r="C19" s="22">
        <v>768</v>
      </c>
      <c r="D19" s="22"/>
      <c r="E19" s="22">
        <v>746</v>
      </c>
      <c r="F19" s="22"/>
      <c r="G19" s="22"/>
      <c r="H19" s="22">
        <v>1514</v>
      </c>
    </row>
    <row r="20" spans="1:8" x14ac:dyDescent="0.25">
      <c r="A20">
        <v>12</v>
      </c>
      <c r="B20" s="13" t="s">
        <v>73</v>
      </c>
      <c r="C20" s="22"/>
      <c r="D20" s="22">
        <v>403</v>
      </c>
      <c r="E20" s="22">
        <v>346</v>
      </c>
      <c r="F20" s="22"/>
      <c r="G20" s="22">
        <v>758</v>
      </c>
      <c r="H20" s="22">
        <v>1507</v>
      </c>
    </row>
    <row r="21" spans="1:8" x14ac:dyDescent="0.25">
      <c r="A21">
        <v>13</v>
      </c>
      <c r="B21" s="13" t="s">
        <v>69</v>
      </c>
      <c r="C21" s="22">
        <v>544</v>
      </c>
      <c r="D21" s="22"/>
      <c r="E21" s="22"/>
      <c r="F21" s="22"/>
      <c r="G21" s="22">
        <v>772</v>
      </c>
      <c r="H21" s="22">
        <v>1316</v>
      </c>
    </row>
    <row r="22" spans="1:8" x14ac:dyDescent="0.25">
      <c r="A22">
        <v>14</v>
      </c>
      <c r="B22" s="13" t="s">
        <v>193</v>
      </c>
      <c r="C22" s="22"/>
      <c r="D22" s="22">
        <v>1000</v>
      </c>
      <c r="E22" s="22"/>
      <c r="F22" s="22"/>
      <c r="G22" s="22"/>
      <c r="H22" s="22">
        <v>1000</v>
      </c>
    </row>
    <row r="23" spans="1:8" x14ac:dyDescent="0.25">
      <c r="A23">
        <v>15</v>
      </c>
      <c r="B23" s="13" t="s">
        <v>147</v>
      </c>
      <c r="C23" s="22">
        <v>1000</v>
      </c>
      <c r="D23" s="22"/>
      <c r="E23" s="22"/>
      <c r="F23" s="22"/>
      <c r="G23" s="22"/>
      <c r="H23" s="22">
        <v>1000</v>
      </c>
    </row>
    <row r="24" spans="1:8" x14ac:dyDescent="0.25">
      <c r="A24">
        <v>16</v>
      </c>
      <c r="B24" s="13" t="s">
        <v>202</v>
      </c>
      <c r="C24" s="22"/>
      <c r="D24" s="22">
        <v>492</v>
      </c>
      <c r="E24" s="22">
        <v>492</v>
      </c>
      <c r="F24" s="22"/>
      <c r="G24" s="22"/>
      <c r="H24" s="22">
        <v>984</v>
      </c>
    </row>
    <row r="25" spans="1:8" ht="14.25" customHeight="1" x14ac:dyDescent="0.25">
      <c r="A25">
        <v>17</v>
      </c>
      <c r="B25" s="13" t="s">
        <v>227</v>
      </c>
      <c r="C25" s="22"/>
      <c r="D25" s="22"/>
      <c r="E25" s="22"/>
      <c r="F25" s="22"/>
      <c r="G25" s="22">
        <v>907</v>
      </c>
      <c r="H25" s="22">
        <v>907</v>
      </c>
    </row>
    <row r="26" spans="1:8" ht="14.25" customHeight="1" x14ac:dyDescent="0.25">
      <c r="A26">
        <v>18</v>
      </c>
      <c r="B26" s="13" t="s">
        <v>66</v>
      </c>
      <c r="C26" s="22">
        <v>900</v>
      </c>
      <c r="D26" s="22"/>
      <c r="E26" s="22"/>
      <c r="F26" s="22"/>
      <c r="G26" s="22"/>
      <c r="H26" s="22">
        <v>900</v>
      </c>
    </row>
    <row r="27" spans="1:8" x14ac:dyDescent="0.25">
      <c r="A27">
        <v>19</v>
      </c>
      <c r="B27" s="13" t="s">
        <v>63</v>
      </c>
      <c r="C27" s="22"/>
      <c r="D27" s="22">
        <v>885</v>
      </c>
      <c r="E27" s="22"/>
      <c r="F27" s="22"/>
      <c r="G27" s="22"/>
      <c r="H27" s="22">
        <v>885</v>
      </c>
    </row>
    <row r="28" spans="1:8" x14ac:dyDescent="0.25">
      <c r="A28">
        <v>20</v>
      </c>
      <c r="B28" s="13" t="s">
        <v>130</v>
      </c>
      <c r="C28" s="22">
        <v>534</v>
      </c>
      <c r="D28" s="22"/>
      <c r="E28" s="22"/>
      <c r="F28" s="22"/>
      <c r="G28" s="22"/>
      <c r="H28" s="22">
        <v>534</v>
      </c>
    </row>
    <row r="29" spans="1:8" x14ac:dyDescent="0.25">
      <c r="A29">
        <v>21</v>
      </c>
      <c r="B29" s="13" t="s">
        <v>180</v>
      </c>
      <c r="C29" s="22">
        <v>301</v>
      </c>
      <c r="D29" s="22"/>
      <c r="E29" s="22"/>
      <c r="F29" s="22"/>
      <c r="G29" s="22"/>
      <c r="H29" s="22">
        <v>301</v>
      </c>
    </row>
    <row r="32" spans="1:8" x14ac:dyDescent="0.25">
      <c r="B32" s="12" t="s">
        <v>2</v>
      </c>
      <c r="C32" t="s">
        <v>99</v>
      </c>
    </row>
    <row r="34" spans="1:8" x14ac:dyDescent="0.25">
      <c r="B34" s="12" t="s">
        <v>125</v>
      </c>
      <c r="C34" s="12" t="s">
        <v>59</v>
      </c>
    </row>
    <row r="35" spans="1:8" x14ac:dyDescent="0.25">
      <c r="A35" s="82" t="s">
        <v>153</v>
      </c>
      <c r="B35" s="12" t="s">
        <v>135</v>
      </c>
      <c r="C35" t="s">
        <v>157</v>
      </c>
      <c r="D35" t="s">
        <v>182</v>
      </c>
      <c r="E35" t="s">
        <v>195</v>
      </c>
      <c r="F35" t="s">
        <v>209</v>
      </c>
      <c r="G35" t="s">
        <v>222</v>
      </c>
      <c r="H35" t="s">
        <v>137</v>
      </c>
    </row>
    <row r="36" spans="1:8" x14ac:dyDescent="0.25">
      <c r="A36">
        <v>1</v>
      </c>
      <c r="B36" s="13" t="s">
        <v>70</v>
      </c>
      <c r="C36" s="22">
        <v>0</v>
      </c>
      <c r="D36" s="22">
        <v>1000</v>
      </c>
      <c r="E36" s="22">
        <v>1000</v>
      </c>
      <c r="F36" s="22">
        <v>1000</v>
      </c>
      <c r="G36" s="22">
        <v>0</v>
      </c>
      <c r="H36" s="22">
        <v>3000</v>
      </c>
    </row>
    <row r="37" spans="1:8" x14ac:dyDescent="0.25">
      <c r="A37">
        <v>2</v>
      </c>
      <c r="B37" s="13" t="s">
        <v>151</v>
      </c>
      <c r="C37" s="22">
        <v>0</v>
      </c>
      <c r="D37" s="22"/>
      <c r="E37" s="22">
        <v>971</v>
      </c>
      <c r="F37" s="22">
        <v>970</v>
      </c>
      <c r="G37" s="22">
        <v>982</v>
      </c>
      <c r="H37" s="22">
        <v>2923</v>
      </c>
    </row>
    <row r="38" spans="1:8" x14ac:dyDescent="0.25">
      <c r="A38">
        <v>3</v>
      </c>
      <c r="B38" s="13" t="s">
        <v>129</v>
      </c>
      <c r="C38" s="22">
        <v>1000</v>
      </c>
      <c r="D38" s="22">
        <v>925</v>
      </c>
      <c r="E38" s="22">
        <v>0</v>
      </c>
      <c r="F38" s="22">
        <v>911</v>
      </c>
      <c r="G38" s="22">
        <v>0</v>
      </c>
      <c r="H38" s="22">
        <v>2836</v>
      </c>
    </row>
    <row r="39" spans="1:8" x14ac:dyDescent="0.25">
      <c r="A39">
        <v>4</v>
      </c>
      <c r="B39" s="13" t="s">
        <v>62</v>
      </c>
      <c r="C39" s="22">
        <v>775</v>
      </c>
      <c r="D39" s="22">
        <v>860</v>
      </c>
      <c r="E39" s="22">
        <v>0</v>
      </c>
      <c r="F39" s="22">
        <v>860</v>
      </c>
      <c r="G39" s="22">
        <v>0</v>
      </c>
      <c r="H39" s="22">
        <v>2495</v>
      </c>
    </row>
    <row r="40" spans="1:8" x14ac:dyDescent="0.25">
      <c r="A40">
        <v>5</v>
      </c>
      <c r="B40" s="13" t="s">
        <v>214</v>
      </c>
      <c r="C40" s="22"/>
      <c r="D40" s="22">
        <v>639</v>
      </c>
      <c r="E40" s="22">
        <v>0</v>
      </c>
      <c r="F40" s="22">
        <v>795</v>
      </c>
      <c r="G40" s="22">
        <v>826</v>
      </c>
      <c r="H40" s="22">
        <v>2260</v>
      </c>
    </row>
    <row r="41" spans="1:8" x14ac:dyDescent="0.25">
      <c r="A41">
        <v>6</v>
      </c>
      <c r="B41" s="13" t="s">
        <v>213</v>
      </c>
      <c r="C41" s="22"/>
      <c r="D41" s="22"/>
      <c r="E41" s="22">
        <v>769</v>
      </c>
      <c r="F41" s="22">
        <v>490</v>
      </c>
      <c r="G41" s="22">
        <v>776</v>
      </c>
      <c r="H41" s="22">
        <v>2035</v>
      </c>
    </row>
    <row r="42" spans="1:8" x14ac:dyDescent="0.25">
      <c r="A42">
        <v>7</v>
      </c>
      <c r="B42" s="13" t="s">
        <v>74</v>
      </c>
      <c r="C42" s="22"/>
      <c r="D42" s="22"/>
      <c r="E42" s="22">
        <v>989</v>
      </c>
      <c r="F42" s="22"/>
      <c r="G42" s="22">
        <v>1000</v>
      </c>
      <c r="H42" s="22">
        <v>1989</v>
      </c>
    </row>
    <row r="43" spans="1:8" x14ac:dyDescent="0.25">
      <c r="A43">
        <v>8</v>
      </c>
      <c r="B43" s="13" t="s">
        <v>173</v>
      </c>
      <c r="C43" s="22">
        <v>0</v>
      </c>
      <c r="D43" s="22">
        <v>524</v>
      </c>
      <c r="E43" s="22">
        <v>593</v>
      </c>
      <c r="F43" s="22">
        <v>733</v>
      </c>
      <c r="G43" s="22"/>
      <c r="H43" s="22">
        <v>1850</v>
      </c>
    </row>
    <row r="44" spans="1:8" x14ac:dyDescent="0.25">
      <c r="A44">
        <v>9</v>
      </c>
      <c r="B44" s="13" t="s">
        <v>215</v>
      </c>
      <c r="C44" s="22"/>
      <c r="D44" s="22"/>
      <c r="E44" s="22">
        <v>590</v>
      </c>
      <c r="F44" s="22">
        <v>500</v>
      </c>
      <c r="G44" s="22">
        <v>685</v>
      </c>
      <c r="H44" s="22">
        <v>1775</v>
      </c>
    </row>
    <row r="45" spans="1:8" x14ac:dyDescent="0.25">
      <c r="A45">
        <v>10</v>
      </c>
      <c r="B45" s="13" t="s">
        <v>170</v>
      </c>
      <c r="C45" s="22">
        <v>950</v>
      </c>
      <c r="D45" s="22"/>
      <c r="E45" s="22"/>
      <c r="F45" s="22">
        <v>661</v>
      </c>
      <c r="G45" s="22"/>
      <c r="H45" s="22">
        <v>1611</v>
      </c>
    </row>
    <row r="46" spans="1:8" x14ac:dyDescent="0.25">
      <c r="A46">
        <v>11</v>
      </c>
      <c r="B46" s="13" t="s">
        <v>220</v>
      </c>
      <c r="C46" s="22"/>
      <c r="D46" s="22">
        <v>667</v>
      </c>
      <c r="E46" s="22"/>
      <c r="F46" s="22">
        <v>853</v>
      </c>
      <c r="G46" s="22"/>
      <c r="H46" s="22">
        <v>1520</v>
      </c>
    </row>
    <row r="47" spans="1:8" x14ac:dyDescent="0.25">
      <c r="A47">
        <v>12</v>
      </c>
      <c r="B47" s="13" t="s">
        <v>178</v>
      </c>
      <c r="C47" s="22"/>
      <c r="D47" s="22"/>
      <c r="E47" s="22"/>
      <c r="F47" s="22">
        <v>866</v>
      </c>
      <c r="G47" s="22"/>
      <c r="H47" s="22">
        <v>866</v>
      </c>
    </row>
    <row r="48" spans="1:8" x14ac:dyDescent="0.25">
      <c r="A48">
        <v>13</v>
      </c>
      <c r="B48" s="13" t="s">
        <v>171</v>
      </c>
      <c r="C48" s="22">
        <v>843</v>
      </c>
      <c r="D48" s="22"/>
      <c r="E48" s="22"/>
      <c r="F48" s="22"/>
      <c r="G48" s="22"/>
      <c r="H48" s="22">
        <v>843</v>
      </c>
    </row>
    <row r="49" spans="1:8" x14ac:dyDescent="0.25">
      <c r="A49">
        <v>14</v>
      </c>
      <c r="B49" s="13" t="s">
        <v>172</v>
      </c>
      <c r="C49" s="22">
        <v>509</v>
      </c>
      <c r="D49" s="22"/>
      <c r="E49" s="22"/>
      <c r="F49" s="22"/>
      <c r="G49" s="22"/>
      <c r="H49" s="22">
        <v>509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EE6D-967F-488C-BC6D-5CBD26CD9C89}">
  <sheetPr>
    <tabColor theme="5" tint="-0.249977111117893"/>
    <pageSetUpPr fitToPage="1"/>
  </sheetPr>
  <dimension ref="A1:AJ115"/>
  <sheetViews>
    <sheetView workbookViewId="0">
      <pane xSplit="5" ySplit="8" topLeftCell="F93" activePane="bottomRight" state="frozen"/>
      <selection pane="topRight" activeCell="F1" sqref="F1"/>
      <selection pane="bottomLeft" activeCell="A6" sqref="A6"/>
      <selection pane="bottomRight" activeCell="S4" sqref="S4"/>
    </sheetView>
  </sheetViews>
  <sheetFormatPr defaultRowHeight="15" outlineLevelRow="1" outlineLevelCol="1" x14ac:dyDescent="0.25"/>
  <cols>
    <col min="1" max="1" width="17.5703125" customWidth="1"/>
    <col min="3" max="3" width="23.28515625" hidden="1" customWidth="1" outlineLevel="1"/>
    <col min="4" max="4" width="22" customWidth="1" collapsed="1"/>
    <col min="5" max="5" width="22" hidden="1" customWidth="1" outlineLevel="1"/>
    <col min="6" max="6" width="8.42578125" customWidth="1" collapsed="1"/>
    <col min="7" max="7" width="5.5703125" hidden="1" customWidth="1" outlineLevel="1"/>
    <col min="8" max="8" width="6.85546875" hidden="1" customWidth="1" outlineLevel="1"/>
    <col min="9" max="9" width="8.7109375" style="30" customWidth="1" collapsed="1"/>
    <col min="10" max="10" width="15.85546875" hidden="1" customWidth="1" outlineLevel="1"/>
    <col min="11" max="11" width="8.42578125" hidden="1" customWidth="1" outlineLevel="1"/>
    <col min="12" max="12" width="10.5703125" hidden="1" customWidth="1" outlineLevel="1"/>
    <col min="13" max="13" width="9.140625" style="6" hidden="1" customWidth="1" outlineLevel="1"/>
    <col min="14" max="14" width="9.140625" style="6" customWidth="1" collapsed="1"/>
    <col min="15" max="16" width="9.140625" style="6" customWidth="1"/>
    <col min="17" max="18" width="9.140625" style="6" hidden="1" customWidth="1" outlineLevel="1"/>
    <col min="19" max="19" width="9.140625" style="32" customWidth="1" collapsed="1"/>
    <col min="20" max="20" width="9.140625" style="22"/>
    <col min="21" max="22" width="9.140625" style="6" hidden="1" customWidth="1" outlineLevel="1"/>
    <col min="23" max="23" width="9.140625" style="6" collapsed="1"/>
    <col min="24" max="24" width="9.140625" style="22"/>
    <col min="25" max="25" width="9.140625" style="6"/>
    <col min="26" max="26" width="9.140625" style="32"/>
    <col min="27" max="27" width="5" style="6" hidden="1" customWidth="1" outlineLevel="1"/>
    <col min="28" max="28" width="9.140625" style="45" hidden="1" customWidth="1" outlineLevel="1"/>
    <col min="29" max="29" width="9.140625" style="44" hidden="1" customWidth="1" outlineLevel="1"/>
    <col min="30" max="30" width="7.28515625" hidden="1" customWidth="1" outlineLevel="1"/>
    <col min="31" max="31" width="6.140625" style="22" hidden="1" customWidth="1" outlineLevel="1"/>
    <col min="32" max="32" width="6.140625" hidden="1" customWidth="1" outlineLevel="1"/>
    <col min="33" max="33" width="8" bestFit="1" customWidth="1" collapsed="1"/>
    <col min="34" max="34" width="31" hidden="1" customWidth="1" outlineLevel="1"/>
    <col min="35" max="35" width="9.140625" style="22" hidden="1" customWidth="1" outlineLevel="1"/>
    <col min="36" max="36" width="9.140625" collapsed="1"/>
  </cols>
  <sheetData>
    <row r="1" spans="1:35" x14ac:dyDescent="0.25">
      <c r="A1" s="1" t="str">
        <f>league!A1</f>
        <v>QO Street Series 2020/21</v>
      </c>
    </row>
    <row r="2" spans="1:35" x14ac:dyDescent="0.25">
      <c r="A2" s="1" t="s">
        <v>144</v>
      </c>
    </row>
    <row r="3" spans="1:35" x14ac:dyDescent="0.25">
      <c r="A3" s="1"/>
    </row>
    <row r="4" spans="1:35" x14ac:dyDescent="0.25">
      <c r="A4" s="60" t="s">
        <v>131</v>
      </c>
      <c r="B4" s="62">
        <v>3</v>
      </c>
    </row>
    <row r="5" spans="1:35" x14ac:dyDescent="0.25">
      <c r="A5" s="61" t="s">
        <v>134</v>
      </c>
      <c r="B5" s="63">
        <v>5</v>
      </c>
    </row>
    <row r="6" spans="1:35" hidden="1" outlineLevel="1" x14ac:dyDescent="0.25">
      <c r="A6" s="65" t="s">
        <v>155</v>
      </c>
      <c r="B6" s="66"/>
      <c r="C6" s="67"/>
      <c r="D6" s="66" t="s">
        <v>156</v>
      </c>
      <c r="E6" s="67"/>
      <c r="F6" s="66" t="s">
        <v>156</v>
      </c>
      <c r="G6" s="66"/>
      <c r="H6" s="66"/>
      <c r="I6" s="67"/>
      <c r="J6" s="67"/>
      <c r="K6" s="67"/>
      <c r="L6" s="67"/>
      <c r="M6" s="66"/>
      <c r="N6" s="66"/>
      <c r="O6" s="66"/>
      <c r="P6" s="66"/>
      <c r="Q6" s="70"/>
      <c r="R6" s="70"/>
      <c r="S6" s="70"/>
      <c r="T6" s="70"/>
      <c r="U6" s="70"/>
      <c r="V6" s="70"/>
      <c r="W6" s="72"/>
      <c r="X6" s="70"/>
      <c r="Y6" s="66"/>
      <c r="Z6" s="71"/>
      <c r="AA6" s="66"/>
      <c r="AB6" s="68"/>
      <c r="AC6" s="69"/>
      <c r="AD6" s="64"/>
      <c r="AE6" s="70"/>
      <c r="AF6" s="64"/>
      <c r="AG6" s="64"/>
      <c r="AH6" t="s">
        <v>45</v>
      </c>
    </row>
    <row r="7" spans="1:35" s="25" customFormat="1" hidden="1" outlineLevel="1" x14ac:dyDescent="0.25">
      <c r="A7" s="73"/>
      <c r="I7" s="74"/>
      <c r="O7" s="75"/>
      <c r="P7" s="75"/>
      <c r="Q7" s="75"/>
      <c r="R7" s="75"/>
      <c r="S7" s="33">
        <v>20</v>
      </c>
      <c r="T7" s="77"/>
      <c r="U7" s="75"/>
      <c r="V7" s="75"/>
      <c r="W7" s="75"/>
      <c r="X7" s="77"/>
      <c r="Y7" s="75"/>
      <c r="Z7" s="76"/>
      <c r="AA7" s="75"/>
      <c r="AB7" s="50"/>
      <c r="AC7" s="78"/>
      <c r="AE7" s="77"/>
      <c r="AI7" s="77"/>
    </row>
    <row r="8" spans="1:35" s="2" customFormat="1" ht="45" collapsed="1" x14ac:dyDescent="0.25">
      <c r="A8" s="2" t="s">
        <v>49</v>
      </c>
      <c r="B8" s="2" t="s">
        <v>2</v>
      </c>
      <c r="C8" s="80" t="s">
        <v>56</v>
      </c>
      <c r="D8" s="2" t="s">
        <v>0</v>
      </c>
      <c r="E8" s="80" t="s">
        <v>126</v>
      </c>
      <c r="F8" s="2" t="s">
        <v>43</v>
      </c>
      <c r="G8" s="2" t="s">
        <v>105</v>
      </c>
      <c r="H8" s="2" t="s">
        <v>106</v>
      </c>
      <c r="I8" s="31" t="s">
        <v>120</v>
      </c>
      <c r="J8" s="8" t="s">
        <v>50</v>
      </c>
      <c r="K8" s="8" t="s">
        <v>51</v>
      </c>
      <c r="L8" s="9" t="s">
        <v>52</v>
      </c>
      <c r="M8" s="5" t="s">
        <v>203</v>
      </c>
      <c r="N8" s="5" t="s">
        <v>41</v>
      </c>
      <c r="O8" s="36" t="s">
        <v>1</v>
      </c>
      <c r="P8" s="37" t="s">
        <v>121</v>
      </c>
      <c r="Q8" s="37" t="s">
        <v>78</v>
      </c>
      <c r="R8" s="37" t="s">
        <v>77</v>
      </c>
      <c r="S8" s="38" t="s">
        <v>79</v>
      </c>
      <c r="T8" s="39" t="s">
        <v>122</v>
      </c>
      <c r="U8" s="40" t="s">
        <v>55</v>
      </c>
      <c r="V8" s="40" t="s">
        <v>97</v>
      </c>
      <c r="W8" s="37" t="s">
        <v>54</v>
      </c>
      <c r="X8" s="39" t="s">
        <v>53</v>
      </c>
      <c r="Y8" s="41" t="s">
        <v>124</v>
      </c>
      <c r="Z8" s="58" t="s">
        <v>42</v>
      </c>
      <c r="AA8" s="41" t="s">
        <v>133</v>
      </c>
      <c r="AB8" s="41" t="s">
        <v>132</v>
      </c>
      <c r="AC8" s="42" t="s">
        <v>123</v>
      </c>
      <c r="AD8" s="2" t="s">
        <v>199</v>
      </c>
      <c r="AE8" s="34" t="s">
        <v>128</v>
      </c>
      <c r="AF8" s="2" t="s">
        <v>127</v>
      </c>
      <c r="AG8" s="2" t="s">
        <v>96</v>
      </c>
      <c r="AH8" s="2" t="s">
        <v>61</v>
      </c>
      <c r="AI8" s="34" t="s">
        <v>42</v>
      </c>
    </row>
    <row r="9" spans="1:35" ht="14.25" customHeight="1" x14ac:dyDescent="0.25">
      <c r="A9" s="79" t="s">
        <v>157</v>
      </c>
      <c r="B9" t="s">
        <v>3</v>
      </c>
      <c r="C9" s="81" t="str">
        <f>CONCATENATE($A9," ",$B9)</f>
        <v>Taunton Hamilton Long</v>
      </c>
      <c r="D9" t="s">
        <v>162</v>
      </c>
      <c r="E9" s="81" t="str">
        <f t="shared" ref="E9:E115" si="0">CONCATENATE($D9," ",$B9)</f>
        <v>Ollie Rant Long</v>
      </c>
      <c r="F9" t="s">
        <v>103</v>
      </c>
      <c r="G9">
        <v>49</v>
      </c>
      <c r="H9">
        <v>30</v>
      </c>
      <c r="I9" s="30">
        <f>IFERROR(TIMEVALUE(CONCATENATE(0,":",G9,":",H9)),"")</f>
        <v>3.4374999999999996E-2</v>
      </c>
      <c r="J9" s="7">
        <f>I9</f>
        <v>3.4374999999999996E-2</v>
      </c>
      <c r="K9" s="7">
        <f>IF(I9&gt;0.4,1/60,1)</f>
        <v>1</v>
      </c>
      <c r="L9" s="10">
        <f>I9*K9*24*60</f>
        <v>49.5</v>
      </c>
      <c r="N9" s="6" t="s">
        <v>18</v>
      </c>
      <c r="O9" s="43">
        <v>850</v>
      </c>
      <c r="P9" s="44"/>
      <c r="Q9" s="45">
        <f>O9-P9</f>
        <v>850</v>
      </c>
      <c r="R9" s="45">
        <f>IF(VLOOKUP($A9,events!$B$4:$C$8,2,0)=$Q9,ROUNDDOWN(50-$L9,0),0)</f>
        <v>0</v>
      </c>
      <c r="S9" s="44">
        <f t="shared" ref="S9:S40" si="1">$R9*$S$7</f>
        <v>0</v>
      </c>
      <c r="T9" s="46">
        <f>Q9+S9</f>
        <v>850</v>
      </c>
      <c r="U9" s="47">
        <f>ROUND($T9*1000/_xlfn.AGGREGATE(14,6,$T$9:$T$115/($C$9:$C$115=$C9),1),0)</f>
        <v>1000</v>
      </c>
      <c r="V9" s="47">
        <f>1+COUNTIFS($C$9:$C$115,$C9,$U$9:$U$115,"&gt;"&amp;$U9)</f>
        <v>1</v>
      </c>
      <c r="W9" s="45">
        <f t="shared" ref="W9:W40" si="2">VLOOKUP($N9,HANDI,2,0)</f>
        <v>1</v>
      </c>
      <c r="X9" s="46">
        <f>ROUND(T9/W9,0)</f>
        <v>850</v>
      </c>
      <c r="Y9" s="48"/>
      <c r="Z9" s="59">
        <f>ROUND($X9*1000/_xlfn.AGGREGATE(14,6,$X$9:$X$115/($C$9:$C$115=$C9),1),0)+Y9</f>
        <v>936</v>
      </c>
      <c r="AA9" s="48"/>
      <c r="AB9" s="50">
        <f>IF($AA9="d",$B$5+1,1+SUMPRODUCT(($E$9:$E$153=$E9)*($Z$9:$Z$153&gt;$Z9)))</f>
        <v>3</v>
      </c>
      <c r="AC9" s="49">
        <f t="shared" ref="AC9:AC40" si="3">IF(OR(F9="IND",$AB9&gt;$B$4),"",Z9)</f>
        <v>936</v>
      </c>
      <c r="AD9">
        <f>COUNTIF($E$9:$E9,$E9)</f>
        <v>1</v>
      </c>
      <c r="AE9" s="35">
        <f>SUMIF($E$9:$E$115,$E9,$AC$9:$AC$115)</f>
        <v>2858</v>
      </c>
      <c r="AF9" s="35">
        <f>IF($AD9&gt;1,0,SUMIF($E$9:$E$115,$E9,$AC$9:$AC$115))</f>
        <v>2858</v>
      </c>
      <c r="AG9" s="11">
        <f>IF(Z9=0,"",1+COUNTIFS($C$9:$C$115,$C9,$Z$9:$Z$115,"&gt;"&amp;$Z9))</f>
        <v>2</v>
      </c>
      <c r="AH9" t="str">
        <f t="shared" ref="AH9:AH36" si="4">CONCATENATE($D9,"- ",$F9,"- ",IF($M9="",$N9,$M9))</f>
        <v>Ollie Rant- QO- M21</v>
      </c>
      <c r="AI9" s="22">
        <f t="shared" ref="AI9:AI40" si="5">$AC9</f>
        <v>936</v>
      </c>
    </row>
    <row r="10" spans="1:35" ht="14.25" customHeight="1" x14ac:dyDescent="0.25">
      <c r="A10" s="79" t="s">
        <v>157</v>
      </c>
      <c r="B10" t="s">
        <v>3</v>
      </c>
      <c r="C10" s="81" t="str">
        <f t="shared" ref="C10:C25" si="6">CONCATENATE($A10," ",$B10)</f>
        <v>Taunton Hamilton Long</v>
      </c>
      <c r="D10" t="s">
        <v>163</v>
      </c>
      <c r="E10" s="81" t="str">
        <f t="shared" si="0"/>
        <v>Adam 'Tango' Holland Long</v>
      </c>
      <c r="F10" t="s">
        <v>169</v>
      </c>
      <c r="G10">
        <v>49</v>
      </c>
      <c r="H10">
        <v>56</v>
      </c>
      <c r="I10" s="30">
        <f t="shared" ref="I10:I73" si="7">IFERROR(TIMEVALUE(CONCATENATE(0,":",G10,":",H10)),"")</f>
        <v>3.4675925925925923E-2</v>
      </c>
      <c r="J10" s="7">
        <f t="shared" ref="J10:J25" si="8">I10</f>
        <v>3.4675925925925923E-2</v>
      </c>
      <c r="K10" s="7">
        <f t="shared" ref="K10:K25" si="9">IF(I10&gt;0.4,1/60,1)</f>
        <v>1</v>
      </c>
      <c r="L10" s="10">
        <f t="shared" ref="L10:L25" si="10">I10*K10*24*60</f>
        <v>49.93333333333333</v>
      </c>
      <c r="N10" s="6" t="s">
        <v>117</v>
      </c>
      <c r="O10" s="43">
        <v>740</v>
      </c>
      <c r="P10" s="44"/>
      <c r="Q10" s="45">
        <f t="shared" ref="Q10:Q25" si="11">O10-P10</f>
        <v>740</v>
      </c>
      <c r="R10" s="45">
        <f>IF(VLOOKUP($A10,events!$B$4:$C$8,2,0)=$Q10,ROUNDDOWN(50-$L10,0),0)</f>
        <v>0</v>
      </c>
      <c r="S10" s="44">
        <f t="shared" si="1"/>
        <v>0</v>
      </c>
      <c r="T10" s="46">
        <f t="shared" ref="T10:T25" si="12">Q10+S10</f>
        <v>740</v>
      </c>
      <c r="U10" s="47">
        <f>ROUND($T10*1000/_xlfn.AGGREGATE(14,6,$T$9:$T$115/($C$9:$C$115=$C10),1),0)</f>
        <v>871</v>
      </c>
      <c r="V10" s="47">
        <f>1+COUNTIFS($C$9:$C$115,$C10,$U$9:$U$115,"&gt;"&amp;$U10)</f>
        <v>2</v>
      </c>
      <c r="W10" s="45">
        <f t="shared" si="2"/>
        <v>0.99</v>
      </c>
      <c r="X10" s="46">
        <f t="shared" ref="X10:X25" si="13">ROUND(T10/W10,0)</f>
        <v>747</v>
      </c>
      <c r="Y10" s="48"/>
      <c r="Z10" s="59">
        <f>ROUND($X10*1000/_xlfn.AGGREGATE(14,6,$X$9:$X$115/($C$9:$C$115=$C10),1),0)+Y10</f>
        <v>823</v>
      </c>
      <c r="AA10" s="48"/>
      <c r="AB10" s="50">
        <f>IF($AA10="d",$B$5+1,1+SUMPRODUCT(($E$9:$E$153=$E10)*($Z$9:$Z$153&gt;$Z10)))</f>
        <v>2</v>
      </c>
      <c r="AC10" s="49" t="str">
        <f t="shared" si="3"/>
        <v/>
      </c>
      <c r="AD10">
        <f>COUNTIF($E$9:$E10,$E10)</f>
        <v>1</v>
      </c>
      <c r="AE10" s="35">
        <f>SUMIF($E$9:$E$115,$E10,$AC$9:$AC$115)</f>
        <v>0</v>
      </c>
      <c r="AF10" s="35">
        <f>IF($AD10&gt;1,0,SUMIF($E$9:$E$115,$E10,$AC$9:$AC$115))</f>
        <v>0</v>
      </c>
      <c r="AG10" s="11">
        <f>IF(Z10=0,"",1+COUNTIFS($C$9:$C$115,$C10,$Z$9:$Z$115,"&gt;"&amp;$Z10))</f>
        <v>4</v>
      </c>
      <c r="AH10" t="str">
        <f t="shared" si="4"/>
        <v>Adam 'Tango' Holland- Ind- M30</v>
      </c>
      <c r="AI10" s="22" t="str">
        <f t="shared" si="5"/>
        <v/>
      </c>
    </row>
    <row r="11" spans="1:35" ht="14.25" customHeight="1" x14ac:dyDescent="0.25">
      <c r="A11" s="79" t="s">
        <v>157</v>
      </c>
      <c r="B11" t="s">
        <v>3</v>
      </c>
      <c r="C11" s="81" t="str">
        <f t="shared" si="6"/>
        <v>Taunton Hamilton Long</v>
      </c>
      <c r="D11" t="s">
        <v>108</v>
      </c>
      <c r="E11" s="81" t="str">
        <f t="shared" si="0"/>
        <v>Robin Fieldhouse Long</v>
      </c>
      <c r="F11" t="s">
        <v>103</v>
      </c>
      <c r="G11">
        <v>52</v>
      </c>
      <c r="H11">
        <v>14</v>
      </c>
      <c r="I11" s="30">
        <f t="shared" si="7"/>
        <v>3.6273148148148145E-2</v>
      </c>
      <c r="J11" s="7">
        <f t="shared" si="8"/>
        <v>3.6273148148148145E-2</v>
      </c>
      <c r="K11" s="7">
        <f t="shared" si="9"/>
        <v>1</v>
      </c>
      <c r="L11" s="10">
        <f t="shared" si="10"/>
        <v>52.233333333333334</v>
      </c>
      <c r="N11" s="6" t="s">
        <v>18</v>
      </c>
      <c r="O11" s="43">
        <v>800</v>
      </c>
      <c r="P11" s="44">
        <v>90</v>
      </c>
      <c r="Q11" s="45">
        <f t="shared" si="11"/>
        <v>710</v>
      </c>
      <c r="R11" s="45">
        <f>IF(VLOOKUP($A11,events!$B$4:$C$8,2,0)=$Q11,ROUNDDOWN(50-$L11,0),0)</f>
        <v>0</v>
      </c>
      <c r="S11" s="44">
        <f t="shared" si="1"/>
        <v>0</v>
      </c>
      <c r="T11" s="46">
        <f t="shared" si="12"/>
        <v>710</v>
      </c>
      <c r="U11" s="47">
        <f>ROUND($T11*1000/_xlfn.AGGREGATE(14,6,$T$9:$T$115/($C$9:$C$115=$C11),1),0)</f>
        <v>835</v>
      </c>
      <c r="V11" s="47">
        <f>1+COUNTIFS($C$9:$C$115,$C11,$U$9:$U$115,"&gt;"&amp;$U11)</f>
        <v>3</v>
      </c>
      <c r="W11" s="45">
        <f t="shared" si="2"/>
        <v>1</v>
      </c>
      <c r="X11" s="46">
        <f t="shared" si="13"/>
        <v>710</v>
      </c>
      <c r="Y11" s="48"/>
      <c r="Z11" s="59">
        <f>ROUND($X11*1000/_xlfn.AGGREGATE(14,6,$X$9:$X$115/($C$9:$C$115=$C11),1),0)+Y11</f>
        <v>782</v>
      </c>
      <c r="AA11" s="48"/>
      <c r="AB11" s="50">
        <f>IF($AA11="d",$B$5+1,1+SUMPRODUCT(($E$9:$E$153=$E11)*($Z$9:$Z$153&gt;$Z11)))</f>
        <v>3</v>
      </c>
      <c r="AC11" s="49">
        <f t="shared" si="3"/>
        <v>782</v>
      </c>
      <c r="AD11">
        <f>COUNTIF($E$9:$E11,$E11)</f>
        <v>1</v>
      </c>
      <c r="AE11" s="35">
        <f>SUMIF($E$9:$E$115,$E11,$AC$9:$AC$115)</f>
        <v>2600</v>
      </c>
      <c r="AF11" s="35">
        <f>IF($AD11&gt;1,0,SUMIF($E$9:$E$115,$E11,$AC$9:$AC$115))</f>
        <v>2600</v>
      </c>
      <c r="AG11" s="11">
        <f>IF(Z11=0,"",1+COUNTIFS($C$9:$C$115,$C11,$Z$9:$Z$115,"&gt;"&amp;$Z11))</f>
        <v>7</v>
      </c>
      <c r="AH11" t="str">
        <f t="shared" si="4"/>
        <v>Robin Fieldhouse- QO- M21</v>
      </c>
      <c r="AI11" s="22">
        <f t="shared" si="5"/>
        <v>782</v>
      </c>
    </row>
    <row r="12" spans="1:35" ht="14.25" customHeight="1" x14ac:dyDescent="0.25">
      <c r="A12" s="79" t="s">
        <v>157</v>
      </c>
      <c r="B12" t="s">
        <v>3</v>
      </c>
      <c r="C12" s="81" t="str">
        <f t="shared" si="6"/>
        <v>Taunton Hamilton Long</v>
      </c>
      <c r="D12" t="s">
        <v>145</v>
      </c>
      <c r="E12" s="81" t="str">
        <f t="shared" si="0"/>
        <v>Chris Kelsey Long</v>
      </c>
      <c r="F12" t="s">
        <v>104</v>
      </c>
      <c r="G12">
        <v>50</v>
      </c>
      <c r="H12">
        <v>34</v>
      </c>
      <c r="I12" s="30">
        <f t="shared" si="7"/>
        <v>3.5115740740740746E-2</v>
      </c>
      <c r="J12" s="7">
        <f t="shared" si="8"/>
        <v>3.5115740740740746E-2</v>
      </c>
      <c r="K12" s="7">
        <f t="shared" si="9"/>
        <v>1</v>
      </c>
      <c r="L12" s="10">
        <f t="shared" si="10"/>
        <v>50.56666666666667</v>
      </c>
      <c r="N12" s="6" t="s">
        <v>30</v>
      </c>
      <c r="O12" s="43">
        <v>720</v>
      </c>
      <c r="P12" s="44">
        <v>30</v>
      </c>
      <c r="Q12" s="45">
        <f t="shared" si="11"/>
        <v>690</v>
      </c>
      <c r="R12" s="45">
        <f>IF(VLOOKUP($A12,events!$B$4:$C$8,2,0)=$Q12,ROUNDDOWN(50-$L12,0),0)</f>
        <v>0</v>
      </c>
      <c r="S12" s="44">
        <f t="shared" si="1"/>
        <v>0</v>
      </c>
      <c r="T12" s="46">
        <f t="shared" si="12"/>
        <v>690</v>
      </c>
      <c r="U12" s="47">
        <f>ROUND($T12*1000/_xlfn.AGGREGATE(14,6,$T$9:$T$115/($C$9:$C$115=$C12),1),0)</f>
        <v>812</v>
      </c>
      <c r="V12" s="47">
        <f>1+COUNTIFS($C$9:$C$115,$C12,$U$9:$U$115,"&gt;"&amp;$U12)</f>
        <v>4</v>
      </c>
      <c r="W12" s="45">
        <f t="shared" si="2"/>
        <v>0.76</v>
      </c>
      <c r="X12" s="46">
        <f t="shared" si="13"/>
        <v>908</v>
      </c>
      <c r="Y12" s="48"/>
      <c r="Z12" s="59">
        <f>ROUND($X12*1000/_xlfn.AGGREGATE(14,6,$X$9:$X$115/($C$9:$C$115=$C12),1),0)+Y12</f>
        <v>1000</v>
      </c>
      <c r="AA12" s="48"/>
      <c r="AB12" s="50">
        <f>IF($AA12="d",$B$5+1,1+SUMPRODUCT(($E$9:$E$153=$E12)*($Z$9:$Z$153&gt;$Z12)))</f>
        <v>1</v>
      </c>
      <c r="AC12" s="49">
        <f t="shared" si="3"/>
        <v>1000</v>
      </c>
      <c r="AD12">
        <f>COUNTIF($E$9:$E12,$E12)</f>
        <v>1</v>
      </c>
      <c r="AE12" s="35">
        <f>SUMIF($E$9:$E$115,$E12,$AC$9:$AC$115)</f>
        <v>1000</v>
      </c>
      <c r="AF12" s="35">
        <f>IF($AD12&gt;1,0,SUMIF($E$9:$E$115,$E12,$AC$9:$AC$115))</f>
        <v>1000</v>
      </c>
      <c r="AG12" s="11">
        <f>IF(Z12=0,"",1+COUNTIFS($C$9:$C$115,$C12,$Z$9:$Z$115,"&gt;"&amp;$Z12))</f>
        <v>1</v>
      </c>
      <c r="AH12" t="str">
        <f t="shared" si="4"/>
        <v>Chris Kelsey- BOK- M60</v>
      </c>
      <c r="AI12" s="22">
        <f t="shared" si="5"/>
        <v>1000</v>
      </c>
    </row>
    <row r="13" spans="1:35" ht="14.25" customHeight="1" x14ac:dyDescent="0.25">
      <c r="A13" s="79" t="s">
        <v>157</v>
      </c>
      <c r="B13" t="s">
        <v>3</v>
      </c>
      <c r="C13" s="81" t="str">
        <f t="shared" si="6"/>
        <v>Taunton Hamilton Long</v>
      </c>
      <c r="D13" t="s">
        <v>112</v>
      </c>
      <c r="E13" s="81" t="str">
        <f t="shared" si="0"/>
        <v>Graham Hartley Long</v>
      </c>
      <c r="F13" t="s">
        <v>103</v>
      </c>
      <c r="G13">
        <v>50</v>
      </c>
      <c r="H13">
        <v>46</v>
      </c>
      <c r="I13" s="30">
        <f t="shared" si="7"/>
        <v>3.5254629629629629E-2</v>
      </c>
      <c r="J13" s="7">
        <f t="shared" si="8"/>
        <v>3.5254629629629629E-2</v>
      </c>
      <c r="K13" s="7">
        <f t="shared" si="9"/>
        <v>1</v>
      </c>
      <c r="L13" s="10">
        <f t="shared" si="10"/>
        <v>50.766666666666666</v>
      </c>
      <c r="N13" s="6" t="s">
        <v>28</v>
      </c>
      <c r="O13" s="43">
        <v>700</v>
      </c>
      <c r="P13" s="44">
        <v>30</v>
      </c>
      <c r="Q13" s="45">
        <f t="shared" si="11"/>
        <v>670</v>
      </c>
      <c r="R13" s="45">
        <f>IF(VLOOKUP($A13,events!$B$4:$C$8,2,0)=$Q13,ROUNDDOWN(50-$L13,0),0)</f>
        <v>0</v>
      </c>
      <c r="S13" s="44">
        <f t="shared" si="1"/>
        <v>0</v>
      </c>
      <c r="T13" s="46">
        <f t="shared" si="12"/>
        <v>670</v>
      </c>
      <c r="U13" s="47">
        <f>ROUND($T13*1000/_xlfn.AGGREGATE(14,6,$T$9:$T$115/($C$9:$C$115=$C13),1),0)</f>
        <v>788</v>
      </c>
      <c r="V13" s="47">
        <f>1+COUNTIFS($C$9:$C$115,$C13,$U$9:$U$115,"&gt;"&amp;$U13)</f>
        <v>5</v>
      </c>
      <c r="W13" s="45">
        <f t="shared" si="2"/>
        <v>0.82</v>
      </c>
      <c r="X13" s="46">
        <f t="shared" si="13"/>
        <v>817</v>
      </c>
      <c r="Y13" s="48"/>
      <c r="Z13" s="59">
        <f>ROUND($X13*1000/_xlfn.AGGREGATE(14,6,$X$9:$X$115/($C$9:$C$115=$C13),1),0)+Y13</f>
        <v>900</v>
      </c>
      <c r="AA13" s="48"/>
      <c r="AB13" s="50">
        <f>IF($AA13="d",$B$5+1,1+SUMPRODUCT(($E$9:$E$153=$E13)*($Z$9:$Z$153&gt;$Z13)))</f>
        <v>1</v>
      </c>
      <c r="AC13" s="49">
        <f t="shared" si="3"/>
        <v>900</v>
      </c>
      <c r="AD13">
        <f>COUNTIF($E$9:$E13,$E13)</f>
        <v>1</v>
      </c>
      <c r="AE13" s="35">
        <f>SUMIF($E$9:$E$115,$E13,$AC$9:$AC$115)</f>
        <v>900</v>
      </c>
      <c r="AF13" s="35">
        <f>IF($AD13&gt;1,0,SUMIF($E$9:$E$115,$E13,$AC$9:$AC$115))</f>
        <v>900</v>
      </c>
      <c r="AG13" s="11">
        <f>IF(Z13=0,"",1+COUNTIFS($C$9:$C$115,$C13,$Z$9:$Z$115,"&gt;"&amp;$Z13))</f>
        <v>3</v>
      </c>
      <c r="AH13" t="str">
        <f t="shared" si="4"/>
        <v>Graham Hartley- QO- M55</v>
      </c>
      <c r="AI13" s="22">
        <f t="shared" si="5"/>
        <v>900</v>
      </c>
    </row>
    <row r="14" spans="1:35" ht="14.25" customHeight="1" x14ac:dyDescent="0.25">
      <c r="A14" s="79" t="s">
        <v>157</v>
      </c>
      <c r="B14" t="s">
        <v>3</v>
      </c>
      <c r="C14" s="81" t="str">
        <f t="shared" si="6"/>
        <v>Taunton Hamilton Long</v>
      </c>
      <c r="D14" t="s">
        <v>164</v>
      </c>
      <c r="E14" s="81" t="str">
        <f t="shared" si="0"/>
        <v>Andy Bussell Long</v>
      </c>
      <c r="F14" t="s">
        <v>103</v>
      </c>
      <c r="G14">
        <v>53</v>
      </c>
      <c r="H14">
        <v>56</v>
      </c>
      <c r="I14" s="30">
        <f t="shared" si="7"/>
        <v>3.7453703703703704E-2</v>
      </c>
      <c r="J14" s="7">
        <f t="shared" si="8"/>
        <v>3.7453703703703704E-2</v>
      </c>
      <c r="K14" s="7">
        <f t="shared" si="9"/>
        <v>1</v>
      </c>
      <c r="L14" s="10">
        <f t="shared" si="10"/>
        <v>53.93333333333333</v>
      </c>
      <c r="N14" s="6" t="s">
        <v>24</v>
      </c>
      <c r="O14" s="43">
        <v>760</v>
      </c>
      <c r="P14" s="44">
        <v>120</v>
      </c>
      <c r="Q14" s="45">
        <f t="shared" si="11"/>
        <v>640</v>
      </c>
      <c r="R14" s="45">
        <f>IF(VLOOKUP($A14,events!$B$4:$C$8,2,0)=$Q14,ROUNDDOWN(50-$L14,0),0)</f>
        <v>0</v>
      </c>
      <c r="S14" s="44">
        <f t="shared" si="1"/>
        <v>0</v>
      </c>
      <c r="T14" s="46">
        <f t="shared" si="12"/>
        <v>640</v>
      </c>
      <c r="U14" s="47">
        <f>ROUND($T14*1000/_xlfn.AGGREGATE(14,6,$T$9:$T$115/($C$9:$C$115=$C14),1),0)</f>
        <v>753</v>
      </c>
      <c r="V14" s="47">
        <f>1+COUNTIFS($C$9:$C$115,$C14,$U$9:$U$115,"&gt;"&amp;$U14)</f>
        <v>6</v>
      </c>
      <c r="W14" s="45">
        <f t="shared" si="2"/>
        <v>0.89</v>
      </c>
      <c r="X14" s="46">
        <f t="shared" si="13"/>
        <v>719</v>
      </c>
      <c r="Y14" s="48"/>
      <c r="Z14" s="59">
        <f>ROUND($X14*1000/_xlfn.AGGREGATE(14,6,$X$9:$X$115/($C$9:$C$115=$C14),1),0)+Y14</f>
        <v>792</v>
      </c>
      <c r="AA14" s="48"/>
      <c r="AB14" s="50">
        <f>IF($AA14="d",$B$5+1,1+SUMPRODUCT(($E$9:$E$153=$E14)*($Z$9:$Z$153&gt;$Z14)))</f>
        <v>3</v>
      </c>
      <c r="AC14" s="49">
        <f t="shared" si="3"/>
        <v>792</v>
      </c>
      <c r="AD14">
        <f>COUNTIF($E$9:$E14,$E14)</f>
        <v>1</v>
      </c>
      <c r="AE14" s="35">
        <f>SUMIF($E$9:$E$115,$E14,$AC$9:$AC$115)</f>
        <v>2477</v>
      </c>
      <c r="AF14" s="35">
        <f>IF($AD14&gt;1,0,SUMIF($E$9:$E$115,$E14,$AC$9:$AC$115))</f>
        <v>2477</v>
      </c>
      <c r="AG14" s="11">
        <f>IF(Z14=0,"",1+COUNTIFS($C$9:$C$115,$C14,$Z$9:$Z$115,"&gt;"&amp;$Z14))</f>
        <v>6</v>
      </c>
      <c r="AH14" t="str">
        <f t="shared" si="4"/>
        <v>Andy Bussell- QO- M45</v>
      </c>
      <c r="AI14" s="22">
        <f t="shared" si="5"/>
        <v>792</v>
      </c>
    </row>
    <row r="15" spans="1:35" ht="14.25" customHeight="1" x14ac:dyDescent="0.25">
      <c r="A15" s="79" t="s">
        <v>157</v>
      </c>
      <c r="B15" t="s">
        <v>3</v>
      </c>
      <c r="C15" s="81" t="str">
        <f t="shared" si="6"/>
        <v>Taunton Hamilton Long</v>
      </c>
      <c r="D15" t="s">
        <v>107</v>
      </c>
      <c r="E15" s="81" t="str">
        <f t="shared" si="0"/>
        <v>Pete Shirvington Long</v>
      </c>
      <c r="F15" t="s">
        <v>103</v>
      </c>
      <c r="G15">
        <v>54</v>
      </c>
      <c r="H15">
        <v>17</v>
      </c>
      <c r="I15" s="30">
        <f t="shared" si="7"/>
        <v>3.7696759259259256E-2</v>
      </c>
      <c r="J15" s="7">
        <f t="shared" si="8"/>
        <v>3.7696759259259256E-2</v>
      </c>
      <c r="K15" s="7">
        <f t="shared" si="9"/>
        <v>1</v>
      </c>
      <c r="L15" s="10">
        <f t="shared" si="10"/>
        <v>54.283333333333331</v>
      </c>
      <c r="N15" s="6" t="s">
        <v>24</v>
      </c>
      <c r="O15" s="43">
        <v>770</v>
      </c>
      <c r="P15" s="44">
        <v>150</v>
      </c>
      <c r="Q15" s="45">
        <f t="shared" si="11"/>
        <v>620</v>
      </c>
      <c r="R15" s="45">
        <f>IF(VLOOKUP($A15,events!$B$4:$C$8,2,0)=$Q15,ROUNDDOWN(50-$L15,0),0)</f>
        <v>0</v>
      </c>
      <c r="S15" s="44">
        <f t="shared" si="1"/>
        <v>0</v>
      </c>
      <c r="T15" s="46">
        <f t="shared" si="12"/>
        <v>620</v>
      </c>
      <c r="U15" s="47">
        <f>ROUND($T15*1000/_xlfn.AGGREGATE(14,6,$T$9:$T$115/($C$9:$C$115=$C15),1),0)</f>
        <v>729</v>
      </c>
      <c r="V15" s="47">
        <f>1+COUNTIFS($C$9:$C$115,$C15,$U$9:$U$115,"&gt;"&amp;$U15)</f>
        <v>7</v>
      </c>
      <c r="W15" s="45">
        <f t="shared" si="2"/>
        <v>0.89</v>
      </c>
      <c r="X15" s="46">
        <f t="shared" si="13"/>
        <v>697</v>
      </c>
      <c r="Y15" s="48"/>
      <c r="Z15" s="59">
        <f>ROUND($X15*1000/_xlfn.AGGREGATE(14,6,$X$9:$X$115/($C$9:$C$115=$C15),1),0)+Y15</f>
        <v>768</v>
      </c>
      <c r="AA15" s="48"/>
      <c r="AB15" s="50">
        <f>IF($AA15="d",$B$5+1,1+SUMPRODUCT(($E$9:$E$153=$E15)*($Z$9:$Z$153&gt;$Z15)))</f>
        <v>1</v>
      </c>
      <c r="AC15" s="49">
        <f t="shared" si="3"/>
        <v>768</v>
      </c>
      <c r="AD15">
        <f>COUNTIF($E$9:$E15,$E15)</f>
        <v>1</v>
      </c>
      <c r="AE15" s="35">
        <f>SUMIF($E$9:$E$115,$E15,$AC$9:$AC$115)</f>
        <v>1514</v>
      </c>
      <c r="AF15" s="35">
        <f>IF($AD15&gt;1,0,SUMIF($E$9:$E$115,$E15,$AC$9:$AC$115))</f>
        <v>1514</v>
      </c>
      <c r="AG15" s="11">
        <f>IF(Z15=0,"",1+COUNTIFS($C$9:$C$115,$C15,$Z$9:$Z$115,"&gt;"&amp;$Z15))</f>
        <v>8</v>
      </c>
      <c r="AH15" t="str">
        <f t="shared" si="4"/>
        <v>Pete Shirvington- QO- M45</v>
      </c>
      <c r="AI15" s="22">
        <f t="shared" si="5"/>
        <v>768</v>
      </c>
    </row>
    <row r="16" spans="1:35" ht="14.25" customHeight="1" x14ac:dyDescent="0.25">
      <c r="A16" s="79" t="s">
        <v>157</v>
      </c>
      <c r="B16" t="s">
        <v>3</v>
      </c>
      <c r="C16" s="81" t="str">
        <f t="shared" si="6"/>
        <v>Taunton Hamilton Long</v>
      </c>
      <c r="D16" t="s">
        <v>110</v>
      </c>
      <c r="E16" s="81" t="str">
        <f t="shared" si="0"/>
        <v>Simon St Leger-Harris Long</v>
      </c>
      <c r="F16" t="s">
        <v>103</v>
      </c>
      <c r="G16">
        <v>52</v>
      </c>
      <c r="H16">
        <v>6</v>
      </c>
      <c r="I16" s="30">
        <f t="shared" si="7"/>
        <v>3.6180555555555556E-2</v>
      </c>
      <c r="J16" s="7">
        <f t="shared" si="8"/>
        <v>3.6180555555555556E-2</v>
      </c>
      <c r="K16" s="7">
        <f t="shared" si="9"/>
        <v>1</v>
      </c>
      <c r="L16" s="10">
        <f t="shared" si="10"/>
        <v>52.1</v>
      </c>
      <c r="N16" s="6" t="s">
        <v>32</v>
      </c>
      <c r="O16" s="43">
        <v>610</v>
      </c>
      <c r="P16" s="44">
        <v>90</v>
      </c>
      <c r="Q16" s="45">
        <f t="shared" si="11"/>
        <v>520</v>
      </c>
      <c r="R16" s="45">
        <f>IF(VLOOKUP($A16,events!$B$4:$C$8,2,0)=$Q16,ROUNDDOWN(50-$L16,0),0)</f>
        <v>0</v>
      </c>
      <c r="S16" s="44">
        <f t="shared" si="1"/>
        <v>0</v>
      </c>
      <c r="T16" s="46">
        <f t="shared" si="12"/>
        <v>520</v>
      </c>
      <c r="U16" s="47">
        <f>ROUND($T16*1000/_xlfn.AGGREGATE(14,6,$T$9:$T$115/($C$9:$C$115=$C16),1),0)</f>
        <v>612</v>
      </c>
      <c r="V16" s="47">
        <f>1+COUNTIFS($C$9:$C$115,$C16,$U$9:$U$115,"&gt;"&amp;$U16)</f>
        <v>8</v>
      </c>
      <c r="W16" s="45">
        <f t="shared" si="2"/>
        <v>0.7</v>
      </c>
      <c r="X16" s="46">
        <f t="shared" si="13"/>
        <v>743</v>
      </c>
      <c r="Y16" s="48"/>
      <c r="Z16" s="59">
        <f>ROUND($X16*1000/_xlfn.AGGREGATE(14,6,$X$9:$X$115/($C$9:$C$115=$C16),1),0)+Y16</f>
        <v>818</v>
      </c>
      <c r="AA16" s="48"/>
      <c r="AB16" s="50">
        <f>IF($AA16="d",$B$5+1,1+SUMPRODUCT(($E$9:$E$153=$E16)*($Z$9:$Z$153&gt;$Z16)))</f>
        <v>2</v>
      </c>
      <c r="AC16" s="49">
        <f t="shared" si="3"/>
        <v>818</v>
      </c>
      <c r="AD16">
        <f>COUNTIF($E$9:$E16,$E16)</f>
        <v>1</v>
      </c>
      <c r="AE16" s="35">
        <f>SUMIF($E$9:$E$115,$E16,$AC$9:$AC$115)</f>
        <v>2425</v>
      </c>
      <c r="AF16" s="35">
        <f>IF($AD16&gt;1,0,SUMIF($E$9:$E$115,$E16,$AC$9:$AC$115))</f>
        <v>2425</v>
      </c>
      <c r="AG16" s="11">
        <f>IF(Z16=0,"",1+COUNTIFS($C$9:$C$115,$C16,$Z$9:$Z$115,"&gt;"&amp;$Z16))</f>
        <v>5</v>
      </c>
      <c r="AH16" t="str">
        <f t="shared" si="4"/>
        <v>Simon St Leger-Harris- QO- M65</v>
      </c>
      <c r="AI16" s="22">
        <f t="shared" si="5"/>
        <v>818</v>
      </c>
    </row>
    <row r="17" spans="1:35" ht="14.25" customHeight="1" x14ac:dyDescent="0.25">
      <c r="A17" s="79" t="s">
        <v>157</v>
      </c>
      <c r="B17" t="s">
        <v>3</v>
      </c>
      <c r="C17" s="81" t="str">
        <f t="shared" si="6"/>
        <v>Taunton Hamilton Long</v>
      </c>
      <c r="D17" t="s">
        <v>165</v>
      </c>
      <c r="E17" s="81" t="str">
        <f t="shared" si="0"/>
        <v>Miffy Treherne Long</v>
      </c>
      <c r="F17" t="s">
        <v>103</v>
      </c>
      <c r="G17">
        <v>50</v>
      </c>
      <c r="H17">
        <v>1</v>
      </c>
      <c r="I17" s="30">
        <f t="shared" si="7"/>
        <v>3.4733796296296297E-2</v>
      </c>
      <c r="J17" s="7">
        <f t="shared" si="8"/>
        <v>3.4733796296296297E-2</v>
      </c>
      <c r="K17" s="7">
        <f t="shared" si="9"/>
        <v>1</v>
      </c>
      <c r="L17" s="10">
        <f t="shared" si="10"/>
        <v>50.016666666666666</v>
      </c>
      <c r="N17" s="6" t="s">
        <v>27</v>
      </c>
      <c r="O17" s="43">
        <v>530</v>
      </c>
      <c r="P17" s="44">
        <v>30</v>
      </c>
      <c r="Q17" s="45">
        <f t="shared" si="11"/>
        <v>500</v>
      </c>
      <c r="R17" s="45">
        <f>IF(VLOOKUP($A17,events!$B$4:$C$8,2,0)=$Q17,ROUNDDOWN(50-$L17,0),0)</f>
        <v>0</v>
      </c>
      <c r="S17" s="44">
        <f t="shared" si="1"/>
        <v>0</v>
      </c>
      <c r="T17" s="46">
        <f t="shared" si="12"/>
        <v>500</v>
      </c>
      <c r="U17" s="47">
        <f>ROUND($T17*1000/_xlfn.AGGREGATE(14,6,$T$9:$T$115/($C$9:$C$115=$C17),1),0)</f>
        <v>588</v>
      </c>
      <c r="V17" s="47">
        <f>1+COUNTIFS($C$9:$C$115,$C17,$U$9:$U$115,"&gt;"&amp;$U17)</f>
        <v>9</v>
      </c>
      <c r="W17" s="45">
        <f t="shared" si="2"/>
        <v>0.75</v>
      </c>
      <c r="X17" s="46">
        <f t="shared" si="13"/>
        <v>667</v>
      </c>
      <c r="Y17" s="48"/>
      <c r="Z17" s="59">
        <f>ROUND($X17*1000/_xlfn.AGGREGATE(14,6,$X$9:$X$115/($C$9:$C$115=$C17),1),0)+Y17</f>
        <v>735</v>
      </c>
      <c r="AA17" s="48"/>
      <c r="AB17" s="50">
        <f>IF($AA17="d",$B$5+1,1+SUMPRODUCT(($E$9:$E$153=$E17)*($Z$9:$Z$153&gt;$Z17)))</f>
        <v>4</v>
      </c>
      <c r="AC17" s="49" t="str">
        <f t="shared" si="3"/>
        <v/>
      </c>
      <c r="AD17">
        <f>COUNTIF($E$9:$E17,$E17)</f>
        <v>1</v>
      </c>
      <c r="AE17" s="35">
        <f>SUMIF($E$9:$E$115,$E17,$AC$9:$AC$115)</f>
        <v>2548</v>
      </c>
      <c r="AF17" s="35">
        <f>IF($AD17&gt;1,0,SUMIF($E$9:$E$115,$E17,$AC$9:$AC$115))</f>
        <v>2548</v>
      </c>
      <c r="AG17" s="11">
        <f>IF(Z17=0,"",1+COUNTIFS($C$9:$C$115,$C17,$Z$9:$Z$115,"&gt;"&amp;$Z17))</f>
        <v>9</v>
      </c>
      <c r="AH17" t="str">
        <f t="shared" si="4"/>
        <v>Miffy Treherne- QO- W50</v>
      </c>
      <c r="AI17" s="22" t="str">
        <f t="shared" si="5"/>
        <v/>
      </c>
    </row>
    <row r="18" spans="1:35" ht="14.25" customHeight="1" x14ac:dyDescent="0.25">
      <c r="A18" s="79" t="s">
        <v>157</v>
      </c>
      <c r="B18" t="s">
        <v>3</v>
      </c>
      <c r="C18" s="81" t="str">
        <f t="shared" si="6"/>
        <v>Taunton Hamilton Long</v>
      </c>
      <c r="D18" t="s">
        <v>109</v>
      </c>
      <c r="E18" s="81" t="str">
        <f t="shared" si="0"/>
        <v>Brian Pearson Long</v>
      </c>
      <c r="F18" t="s">
        <v>103</v>
      </c>
      <c r="G18">
        <v>57</v>
      </c>
      <c r="H18">
        <v>39</v>
      </c>
      <c r="I18" s="30">
        <f t="shared" si="7"/>
        <v>4.0034722222222222E-2</v>
      </c>
      <c r="J18" s="7">
        <f t="shared" si="8"/>
        <v>4.0034722222222222E-2</v>
      </c>
      <c r="K18" s="7">
        <f t="shared" si="9"/>
        <v>1</v>
      </c>
      <c r="L18" s="10">
        <f t="shared" si="10"/>
        <v>57.65</v>
      </c>
      <c r="N18" s="6" t="s">
        <v>30</v>
      </c>
      <c r="O18" s="43">
        <v>690</v>
      </c>
      <c r="P18" s="44">
        <v>240</v>
      </c>
      <c r="Q18" s="45">
        <f t="shared" si="11"/>
        <v>450</v>
      </c>
      <c r="R18" s="45">
        <f>IF(VLOOKUP($A18,events!$B$4:$C$8,2,0)=$Q18,ROUNDDOWN(50-$L18,0),0)</f>
        <v>0</v>
      </c>
      <c r="S18" s="44">
        <f t="shared" si="1"/>
        <v>0</v>
      </c>
      <c r="T18" s="46">
        <f t="shared" si="12"/>
        <v>450</v>
      </c>
      <c r="U18" s="47">
        <f>ROUND($T18*1000/_xlfn.AGGREGATE(14,6,$T$9:$T$115/($C$9:$C$115=$C18),1),0)</f>
        <v>529</v>
      </c>
      <c r="V18" s="47">
        <f>1+COUNTIFS($C$9:$C$115,$C18,$U$9:$U$115,"&gt;"&amp;$U18)</f>
        <v>10</v>
      </c>
      <c r="W18" s="45">
        <f t="shared" si="2"/>
        <v>0.76</v>
      </c>
      <c r="X18" s="46">
        <f t="shared" si="13"/>
        <v>592</v>
      </c>
      <c r="Y18" s="48"/>
      <c r="Z18" s="59">
        <f>ROUND($X18*1000/_xlfn.AGGREGATE(14,6,$X$9:$X$115/($C$9:$C$115=$C18),1),0)+Y18</f>
        <v>652</v>
      </c>
      <c r="AA18" s="48"/>
      <c r="AB18" s="50">
        <f>IF($AA18="d",$B$5+1,1+SUMPRODUCT(($E$9:$E$153=$E18)*($Z$9:$Z$153&gt;$Z18)))</f>
        <v>3</v>
      </c>
      <c r="AC18" s="49">
        <f t="shared" si="3"/>
        <v>652</v>
      </c>
      <c r="AD18">
        <f>COUNTIF($E$9:$E18,$E18)</f>
        <v>1</v>
      </c>
      <c r="AE18" s="35">
        <f>SUMIF($E$9:$E$115,$E18,$AC$9:$AC$115)</f>
        <v>2039</v>
      </c>
      <c r="AF18" s="35">
        <f>IF($AD18&gt;1,0,SUMIF($E$9:$E$115,$E18,$AC$9:$AC$115))</f>
        <v>2039</v>
      </c>
      <c r="AG18" s="11">
        <f>IF(Z18=0,"",1+COUNTIFS($C$9:$C$115,$C18,$Z$9:$Z$115,"&gt;"&amp;$Z18))</f>
        <v>10</v>
      </c>
      <c r="AH18" t="str">
        <f t="shared" si="4"/>
        <v>Brian Pearson- QO- M60</v>
      </c>
      <c r="AI18" s="22">
        <f t="shared" si="5"/>
        <v>652</v>
      </c>
    </row>
    <row r="19" spans="1:35" ht="14.25" customHeight="1" x14ac:dyDescent="0.25">
      <c r="A19" s="79" t="s">
        <v>157</v>
      </c>
      <c r="B19" t="s">
        <v>3</v>
      </c>
      <c r="C19" s="81" t="str">
        <f t="shared" si="6"/>
        <v>Taunton Hamilton Long</v>
      </c>
      <c r="D19" t="s">
        <v>100</v>
      </c>
      <c r="E19" s="81" t="str">
        <f t="shared" si="0"/>
        <v>Martin Lewis Long</v>
      </c>
      <c r="F19" t="s">
        <v>103</v>
      </c>
      <c r="G19">
        <v>50</v>
      </c>
      <c r="H19">
        <v>51</v>
      </c>
      <c r="I19" s="30">
        <f t="shared" si="7"/>
        <v>3.5312500000000004E-2</v>
      </c>
      <c r="J19" s="7">
        <f t="shared" si="8"/>
        <v>3.5312500000000004E-2</v>
      </c>
      <c r="K19" s="7">
        <f t="shared" si="9"/>
        <v>1</v>
      </c>
      <c r="L19" s="10">
        <f t="shared" si="10"/>
        <v>50.850000000000009</v>
      </c>
      <c r="N19" s="6" t="s">
        <v>26</v>
      </c>
      <c r="O19" s="43">
        <v>450</v>
      </c>
      <c r="P19" s="44">
        <v>30</v>
      </c>
      <c r="Q19" s="45">
        <f t="shared" si="11"/>
        <v>420</v>
      </c>
      <c r="R19" s="45">
        <f>IF(VLOOKUP($A19,events!$B$4:$C$8,2,0)=$Q19,ROUNDDOWN(50-$L19,0),0)</f>
        <v>0</v>
      </c>
      <c r="S19" s="44">
        <f t="shared" si="1"/>
        <v>0</v>
      </c>
      <c r="T19" s="46">
        <f t="shared" si="12"/>
        <v>420</v>
      </c>
      <c r="U19" s="47">
        <f>ROUND($T19*1000/_xlfn.AGGREGATE(14,6,$T$9:$T$115/($C$9:$C$115=$C19),1),0)</f>
        <v>494</v>
      </c>
      <c r="V19" s="47">
        <f>1+COUNTIFS($C$9:$C$115,$C19,$U$9:$U$115,"&gt;"&amp;$U19)</f>
        <v>11</v>
      </c>
      <c r="W19" s="45">
        <f t="shared" si="2"/>
        <v>0.85</v>
      </c>
      <c r="X19" s="46">
        <f t="shared" si="13"/>
        <v>494</v>
      </c>
      <c r="Y19" s="48"/>
      <c r="Z19" s="59">
        <f>ROUND($X19*1000/_xlfn.AGGREGATE(14,6,$X$9:$X$115/($C$9:$C$115=$C19),1),0)+Y19</f>
        <v>544</v>
      </c>
      <c r="AA19" s="48"/>
      <c r="AB19" s="50">
        <f>IF($AA19="d",$B$5+1,1+SUMPRODUCT(($E$9:$E$153=$E19)*($Z$9:$Z$153&gt;$Z19)))</f>
        <v>2</v>
      </c>
      <c r="AC19" s="49">
        <f t="shared" si="3"/>
        <v>544</v>
      </c>
      <c r="AD19">
        <f>COUNTIF($E$9:$E19,$E19)</f>
        <v>1</v>
      </c>
      <c r="AE19" s="35">
        <f>SUMIF($E$9:$E$115,$E19,$AC$9:$AC$115)</f>
        <v>1316</v>
      </c>
      <c r="AF19" s="35">
        <f>IF($AD19&gt;1,0,SUMIF($E$9:$E$115,$E19,$AC$9:$AC$115))</f>
        <v>1316</v>
      </c>
      <c r="AG19" s="11">
        <f>IF(Z19=0,"",1+COUNTIFS($C$9:$C$115,$C19,$Z$9:$Z$115,"&gt;"&amp;$Z19))</f>
        <v>11</v>
      </c>
      <c r="AH19" t="str">
        <f t="shared" si="4"/>
        <v>Martin Lewis- QO- M50</v>
      </c>
      <c r="AI19" s="22">
        <f t="shared" si="5"/>
        <v>544</v>
      </c>
    </row>
    <row r="20" spans="1:35" ht="14.25" customHeight="1" x14ac:dyDescent="0.25">
      <c r="A20" s="79" t="s">
        <v>157</v>
      </c>
      <c r="B20" t="s">
        <v>3</v>
      </c>
      <c r="C20" s="81" t="str">
        <f t="shared" si="6"/>
        <v>Taunton Hamilton Long</v>
      </c>
      <c r="D20" t="s">
        <v>101</v>
      </c>
      <c r="E20" s="81" t="str">
        <f t="shared" si="0"/>
        <v>Helen Kelsey Long</v>
      </c>
      <c r="F20" t="s">
        <v>104</v>
      </c>
      <c r="G20">
        <v>56</v>
      </c>
      <c r="H20">
        <v>42</v>
      </c>
      <c r="I20" s="30">
        <f t="shared" si="7"/>
        <v>3.9375E-2</v>
      </c>
      <c r="J20" s="7">
        <f t="shared" si="8"/>
        <v>3.9375E-2</v>
      </c>
      <c r="K20" s="7">
        <f t="shared" si="9"/>
        <v>1</v>
      </c>
      <c r="L20" s="10">
        <f t="shared" si="10"/>
        <v>56.7</v>
      </c>
      <c r="N20" s="6" t="s">
        <v>31</v>
      </c>
      <c r="O20" s="43">
        <v>530</v>
      </c>
      <c r="P20" s="44">
        <v>210</v>
      </c>
      <c r="Q20" s="45">
        <f t="shared" si="11"/>
        <v>320</v>
      </c>
      <c r="R20" s="45">
        <f>IF(VLOOKUP($A20,events!$B$4:$C$8,2,0)=$Q20,ROUNDDOWN(50-$L20,0),0)</f>
        <v>0</v>
      </c>
      <c r="S20" s="44">
        <f t="shared" si="1"/>
        <v>0</v>
      </c>
      <c r="T20" s="46">
        <f t="shared" si="12"/>
        <v>320</v>
      </c>
      <c r="U20" s="47">
        <f>ROUND($T20*1000/_xlfn.AGGREGATE(14,6,$T$9:$T$115/($C$9:$C$115=$C20),1),0)</f>
        <v>376</v>
      </c>
      <c r="V20" s="47">
        <f>1+COUNTIFS($C$9:$C$115,$C20,$U$9:$U$115,"&gt;"&amp;$U20)</f>
        <v>12</v>
      </c>
      <c r="W20" s="45">
        <f t="shared" si="2"/>
        <v>0.66</v>
      </c>
      <c r="X20" s="46">
        <f t="shared" si="13"/>
        <v>485</v>
      </c>
      <c r="Y20" s="48"/>
      <c r="Z20" s="59">
        <f>ROUND($X20*1000/_xlfn.AGGREGATE(14,6,$X$9:$X$115/($C$9:$C$115=$C20),1),0)+Y20</f>
        <v>534</v>
      </c>
      <c r="AA20" s="48"/>
      <c r="AB20" s="50">
        <f>IF($AA20="d",$B$5+1,1+SUMPRODUCT(($E$9:$E$153=$E20)*($Z$9:$Z$153&gt;$Z20)))</f>
        <v>1</v>
      </c>
      <c r="AC20" s="49">
        <f t="shared" si="3"/>
        <v>534</v>
      </c>
      <c r="AD20">
        <f>COUNTIF($E$9:$E20,$E20)</f>
        <v>1</v>
      </c>
      <c r="AE20" s="35">
        <f>SUMIF($E$9:$E$115,$E20,$AC$9:$AC$115)</f>
        <v>534</v>
      </c>
      <c r="AF20" s="35">
        <f>IF($AD20&gt;1,0,SUMIF($E$9:$E$115,$E20,$AC$9:$AC$115))</f>
        <v>534</v>
      </c>
      <c r="AG20" s="11">
        <f>IF(Z20=0,"",1+COUNTIFS($C$9:$C$115,$C20,$Z$9:$Z$115,"&gt;"&amp;$Z20))</f>
        <v>12</v>
      </c>
      <c r="AH20" t="str">
        <f t="shared" si="4"/>
        <v>Helen Kelsey- BOK- W60</v>
      </c>
      <c r="AI20" s="22">
        <f t="shared" si="5"/>
        <v>534</v>
      </c>
    </row>
    <row r="21" spans="1:35" ht="14.25" customHeight="1" x14ac:dyDescent="0.25">
      <c r="A21" s="79" t="s">
        <v>157</v>
      </c>
      <c r="B21" t="s">
        <v>3</v>
      </c>
      <c r="C21" s="81" t="str">
        <f t="shared" si="6"/>
        <v>Taunton Hamilton Long</v>
      </c>
      <c r="D21" t="s">
        <v>166</v>
      </c>
      <c r="E21" s="81" t="str">
        <f t="shared" si="0"/>
        <v>Robin Carter Long</v>
      </c>
      <c r="F21" t="s">
        <v>168</v>
      </c>
      <c r="G21">
        <v>54</v>
      </c>
      <c r="H21">
        <v>15</v>
      </c>
      <c r="I21" s="30">
        <f t="shared" si="7"/>
        <v>3.7673611111111109E-2</v>
      </c>
      <c r="J21" s="7">
        <f t="shared" si="8"/>
        <v>3.7673611111111109E-2</v>
      </c>
      <c r="K21" s="7">
        <f t="shared" si="9"/>
        <v>1</v>
      </c>
      <c r="L21" s="10">
        <f t="shared" si="10"/>
        <v>54.249999999999993</v>
      </c>
      <c r="N21" s="6" t="s">
        <v>31</v>
      </c>
      <c r="O21" s="43">
        <v>330</v>
      </c>
      <c r="P21" s="44">
        <v>150</v>
      </c>
      <c r="Q21" s="45">
        <f t="shared" si="11"/>
        <v>180</v>
      </c>
      <c r="R21" s="45">
        <f>IF(VLOOKUP($A21,events!$B$4:$C$8,2,0)=$Q21,ROUNDDOWN(50-$L21,0),0)</f>
        <v>0</v>
      </c>
      <c r="S21" s="44">
        <f t="shared" si="1"/>
        <v>0</v>
      </c>
      <c r="T21" s="46">
        <f t="shared" si="12"/>
        <v>180</v>
      </c>
      <c r="U21" s="47">
        <f>ROUND($T21*1000/_xlfn.AGGREGATE(14,6,$T$9:$T$115/($C$9:$C$115=$C21),1),0)</f>
        <v>212</v>
      </c>
      <c r="V21" s="47">
        <f>1+COUNTIFS($C$9:$C$115,$C21,$U$9:$U$115,"&gt;"&amp;$U21)</f>
        <v>13</v>
      </c>
      <c r="W21" s="45">
        <f t="shared" si="2"/>
        <v>0.66</v>
      </c>
      <c r="X21" s="46">
        <f t="shared" si="13"/>
        <v>273</v>
      </c>
      <c r="Y21" s="48"/>
      <c r="Z21" s="59">
        <f>ROUND($X21*1000/_xlfn.AGGREGATE(14,6,$X$9:$X$115/($C$9:$C$115=$C21),1),0)+Y21</f>
        <v>301</v>
      </c>
      <c r="AA21" s="48"/>
      <c r="AB21" s="50">
        <f>IF($AA21="d",$B$5+1,1+SUMPRODUCT(($E$9:$E$153=$E21)*($Z$9:$Z$153&gt;$Z21)))</f>
        <v>1</v>
      </c>
      <c r="AC21" s="49">
        <f t="shared" si="3"/>
        <v>301</v>
      </c>
      <c r="AD21">
        <f>COUNTIF($E$9:$E21,$E21)</f>
        <v>1</v>
      </c>
      <c r="AE21" s="35">
        <f>SUMIF($E$9:$E$115,$E21,$AC$9:$AC$115)</f>
        <v>301</v>
      </c>
      <c r="AF21" s="35">
        <f>IF($AD21&gt;1,0,SUMIF($E$9:$E$115,$E21,$AC$9:$AC$115))</f>
        <v>301</v>
      </c>
      <c r="AG21" s="11">
        <f>IF(Z21=0,"",1+COUNTIFS($C$9:$C$115,$C21,$Z$9:$Z$115,"&gt;"&amp;$Z21))</f>
        <v>13</v>
      </c>
      <c r="AH21" t="str">
        <f t="shared" si="4"/>
        <v>Robin Carter- Devon- W60</v>
      </c>
      <c r="AI21" s="22">
        <f t="shared" si="5"/>
        <v>301</v>
      </c>
    </row>
    <row r="22" spans="1:35" ht="14.25" customHeight="1" x14ac:dyDescent="0.25">
      <c r="A22" s="79" t="s">
        <v>157</v>
      </c>
      <c r="B22" t="s">
        <v>3</v>
      </c>
      <c r="C22" s="81" t="str">
        <f t="shared" si="6"/>
        <v>Taunton Hamilton Long</v>
      </c>
      <c r="D22" t="s">
        <v>167</v>
      </c>
      <c r="E22" s="81" t="str">
        <f t="shared" si="0"/>
        <v>Victoria Fieldhouse Long</v>
      </c>
      <c r="F22" t="s">
        <v>169</v>
      </c>
      <c r="G22">
        <v>55</v>
      </c>
      <c r="H22">
        <v>36</v>
      </c>
      <c r="I22" s="30">
        <f t="shared" si="7"/>
        <v>3.861111111111111E-2</v>
      </c>
      <c r="J22" s="7">
        <f t="shared" si="8"/>
        <v>3.861111111111111E-2</v>
      </c>
      <c r="K22" s="7">
        <f t="shared" si="9"/>
        <v>1</v>
      </c>
      <c r="L22" s="10">
        <f t="shared" si="10"/>
        <v>55.6</v>
      </c>
      <c r="N22" s="6" t="s">
        <v>29</v>
      </c>
      <c r="O22" s="43">
        <v>270</v>
      </c>
      <c r="P22" s="44">
        <v>180</v>
      </c>
      <c r="Q22" s="45">
        <f t="shared" si="11"/>
        <v>90</v>
      </c>
      <c r="R22" s="45">
        <f>IF(VLOOKUP($A22,events!$B$4:$C$8,2,0)=$Q22,ROUNDDOWN(50-$L22,0),0)</f>
        <v>0</v>
      </c>
      <c r="S22" s="44">
        <f t="shared" si="1"/>
        <v>0</v>
      </c>
      <c r="T22" s="46">
        <f t="shared" si="12"/>
        <v>90</v>
      </c>
      <c r="U22" s="47">
        <f>ROUND($T22*1000/_xlfn.AGGREGATE(14,6,$T$9:$T$115/($C$9:$C$115=$C22),1),0)</f>
        <v>106</v>
      </c>
      <c r="V22" s="47">
        <f>1+COUNTIFS($C$9:$C$115,$C22,$U$9:$U$115,"&gt;"&amp;$U22)</f>
        <v>14</v>
      </c>
      <c r="W22" s="45">
        <f t="shared" si="2"/>
        <v>0.7</v>
      </c>
      <c r="X22" s="46">
        <f t="shared" si="13"/>
        <v>129</v>
      </c>
      <c r="Y22" s="48"/>
      <c r="Z22" s="59">
        <f>ROUND($X22*1000/_xlfn.AGGREGATE(14,6,$X$9:$X$115/($C$9:$C$115=$C22),1),0)+Y22</f>
        <v>142</v>
      </c>
      <c r="AA22" s="48"/>
      <c r="AB22" s="50">
        <f>IF($AA22="d",$B$5+1,1+SUMPRODUCT(($E$9:$E$153=$E22)*($Z$9:$Z$153&gt;$Z22)))</f>
        <v>1</v>
      </c>
      <c r="AC22" s="49" t="str">
        <f t="shared" si="3"/>
        <v/>
      </c>
      <c r="AD22">
        <f>COUNTIF($E$9:$E22,$E22)</f>
        <v>1</v>
      </c>
      <c r="AE22" s="35">
        <f>SUMIF($E$9:$E$115,$E22,$AC$9:$AC$115)</f>
        <v>0</v>
      </c>
      <c r="AF22" s="35">
        <f>IF($AD22&gt;1,0,SUMIF($E$9:$E$115,$E22,$AC$9:$AC$115))</f>
        <v>0</v>
      </c>
      <c r="AG22" s="11">
        <f>IF(Z22=0,"",1+COUNTIFS($C$9:$C$115,$C22,$Z$9:$Z$115,"&gt;"&amp;$Z22))</f>
        <v>14</v>
      </c>
      <c r="AH22" t="str">
        <f t="shared" si="4"/>
        <v>Victoria Fieldhouse- Ind- W55</v>
      </c>
      <c r="AI22" s="22" t="str">
        <f t="shared" si="5"/>
        <v/>
      </c>
    </row>
    <row r="23" spans="1:35" ht="14.25" customHeight="1" x14ac:dyDescent="0.25">
      <c r="A23" s="79" t="s">
        <v>157</v>
      </c>
      <c r="B23" t="s">
        <v>99</v>
      </c>
      <c r="C23" s="81" t="str">
        <f t="shared" si="6"/>
        <v>Taunton Hamilton Short</v>
      </c>
      <c r="D23" t="s">
        <v>102</v>
      </c>
      <c r="E23" s="81" t="str">
        <f t="shared" si="0"/>
        <v>Andy Rimes Short</v>
      </c>
      <c r="F23" t="s">
        <v>103</v>
      </c>
      <c r="G23">
        <v>56</v>
      </c>
      <c r="H23">
        <v>40</v>
      </c>
      <c r="I23" s="30">
        <f t="shared" si="7"/>
        <v>3.9351851851851853E-2</v>
      </c>
      <c r="J23" s="7">
        <f t="shared" si="8"/>
        <v>3.9351851851851853E-2</v>
      </c>
      <c r="K23" s="7">
        <f t="shared" si="9"/>
        <v>1</v>
      </c>
      <c r="L23" s="10">
        <f t="shared" si="10"/>
        <v>56.666666666666664</v>
      </c>
      <c r="N23" s="6" t="s">
        <v>28</v>
      </c>
      <c r="O23" s="43">
        <v>870</v>
      </c>
      <c r="P23" s="44">
        <v>210</v>
      </c>
      <c r="Q23" s="45">
        <f t="shared" si="11"/>
        <v>660</v>
      </c>
      <c r="R23" s="45">
        <f>IF(VLOOKUP($A23,events!$B$4:$C$8,2,0)=$Q23,ROUNDDOWN(50-$L23,0),0)</f>
        <v>0</v>
      </c>
      <c r="S23" s="44">
        <f t="shared" si="1"/>
        <v>0</v>
      </c>
      <c r="T23" s="46">
        <f t="shared" si="12"/>
        <v>660</v>
      </c>
      <c r="U23" s="47">
        <f>ROUND($T23*1000/_xlfn.AGGREGATE(14,6,$T$9:$T$115/($C$9:$C$115=$C23),1),0)</f>
        <v>1000</v>
      </c>
      <c r="V23" s="47">
        <f>1+COUNTIFS($C$9:$C$115,$C23,$U$9:$U$115,"&gt;"&amp;$U23)</f>
        <v>1</v>
      </c>
      <c r="W23" s="45">
        <f t="shared" si="2"/>
        <v>0.82</v>
      </c>
      <c r="X23" s="46">
        <f t="shared" si="13"/>
        <v>805</v>
      </c>
      <c r="Y23" s="48"/>
      <c r="Z23" s="59">
        <f>ROUND($X23*1000/_xlfn.AGGREGATE(14,6,$X$9:$X$115/($C$9:$C$115=$C23),1),0)+Y23</f>
        <v>1000</v>
      </c>
      <c r="AA23" s="48"/>
      <c r="AB23" s="50">
        <f>IF($AA23="d",$B$5+1,1+SUMPRODUCT(($E$9:$E$153=$E23)*($Z$9:$Z$153&gt;$Z23)))</f>
        <v>1</v>
      </c>
      <c r="AC23" s="49">
        <f t="shared" si="3"/>
        <v>1000</v>
      </c>
      <c r="AD23">
        <f>COUNTIF($E$9:$E23,$E23)</f>
        <v>1</v>
      </c>
      <c r="AE23" s="35">
        <f>SUMIF($E$9:$E$115,$E23,$AC$9:$AC$115)</f>
        <v>2836</v>
      </c>
      <c r="AF23" s="35">
        <f>IF($AD23&gt;1,0,SUMIF($E$9:$E$115,$E23,$AC$9:$AC$115))</f>
        <v>2836</v>
      </c>
      <c r="AG23" s="11">
        <f>IF(Z23=0,"",1+COUNTIFS($C$9:$C$115,$C23,$Z$9:$Z$115,"&gt;"&amp;$Z23))</f>
        <v>1</v>
      </c>
      <c r="AH23" t="str">
        <f t="shared" si="4"/>
        <v>Andy Rimes- QO- M55</v>
      </c>
      <c r="AI23" s="22">
        <f t="shared" si="5"/>
        <v>1000</v>
      </c>
    </row>
    <row r="24" spans="1:35" ht="14.25" customHeight="1" x14ac:dyDescent="0.25">
      <c r="A24" s="79" t="s">
        <v>157</v>
      </c>
      <c r="B24" t="s">
        <v>99</v>
      </c>
      <c r="C24" s="81" t="str">
        <f t="shared" si="6"/>
        <v>Taunton Hamilton Short</v>
      </c>
      <c r="D24" t="s">
        <v>158</v>
      </c>
      <c r="E24" s="81" t="str">
        <f t="shared" si="0"/>
        <v>Mark Maynard Short</v>
      </c>
      <c r="F24" t="s">
        <v>103</v>
      </c>
      <c r="G24">
        <v>49</v>
      </c>
      <c r="H24">
        <v>44</v>
      </c>
      <c r="I24" s="30">
        <f t="shared" si="7"/>
        <v>3.453703703703704E-2</v>
      </c>
      <c r="J24" s="7">
        <f t="shared" si="8"/>
        <v>3.453703703703704E-2</v>
      </c>
      <c r="K24" s="7">
        <f t="shared" si="9"/>
        <v>1</v>
      </c>
      <c r="L24" s="10">
        <f t="shared" si="10"/>
        <v>49.733333333333341</v>
      </c>
      <c r="N24" s="6" t="s">
        <v>26</v>
      </c>
      <c r="O24" s="43">
        <v>650</v>
      </c>
      <c r="P24" s="44">
        <v>0</v>
      </c>
      <c r="Q24" s="45">
        <f t="shared" si="11"/>
        <v>650</v>
      </c>
      <c r="R24" s="45">
        <f>IF(VLOOKUP($A24,events!$B$4:$C$8,2,0)=$Q24,ROUNDDOWN(50-$L24,0),0)</f>
        <v>0</v>
      </c>
      <c r="S24" s="44">
        <f t="shared" si="1"/>
        <v>0</v>
      </c>
      <c r="T24" s="46">
        <f t="shared" si="12"/>
        <v>650</v>
      </c>
      <c r="U24" s="47">
        <f>ROUND($T24*1000/_xlfn.AGGREGATE(14,6,$T$9:$T$115/($C$9:$C$115=$C24),1),0)</f>
        <v>985</v>
      </c>
      <c r="V24" s="47">
        <f>1+COUNTIFS($C$9:$C$115,$C24,$U$9:$U$115,"&gt;"&amp;$U24)</f>
        <v>2</v>
      </c>
      <c r="W24" s="45">
        <f t="shared" si="2"/>
        <v>0.85</v>
      </c>
      <c r="X24" s="46">
        <f t="shared" si="13"/>
        <v>765</v>
      </c>
      <c r="Y24" s="48"/>
      <c r="Z24" s="59">
        <f>ROUND($X24*1000/_xlfn.AGGREGATE(14,6,$X$9:$X$115/($C$9:$C$115=$C24),1),0)+Y24</f>
        <v>950</v>
      </c>
      <c r="AA24" s="48"/>
      <c r="AB24" s="50">
        <f>IF($AA24="d",$B$5+1,1+SUMPRODUCT(($E$9:$E$153=$E24)*($Z$9:$Z$153&gt;$Z24)))</f>
        <v>1</v>
      </c>
      <c r="AC24" s="49">
        <f t="shared" si="3"/>
        <v>950</v>
      </c>
      <c r="AD24">
        <f>COUNTIF($E$9:$E24,$E24)</f>
        <v>1</v>
      </c>
      <c r="AE24" s="35">
        <f>SUMIF($E$9:$E$115,$E24,$AC$9:$AC$115)</f>
        <v>1611</v>
      </c>
      <c r="AF24" s="35">
        <f>IF($AD24&gt;1,0,SUMIF($E$9:$E$115,$E24,$AC$9:$AC$115))</f>
        <v>1611</v>
      </c>
      <c r="AG24" s="11">
        <f>IF(Z24=0,"",1+COUNTIFS($C$9:$C$115,$C24,$Z$9:$Z$115,"&gt;"&amp;$Z24))</f>
        <v>3</v>
      </c>
      <c r="AH24" t="str">
        <f t="shared" si="4"/>
        <v>Mark Maynard- QO- M50</v>
      </c>
      <c r="AI24" s="22">
        <f t="shared" si="5"/>
        <v>950</v>
      </c>
    </row>
    <row r="25" spans="1:35" ht="13.5" customHeight="1" x14ac:dyDescent="0.25">
      <c r="A25" s="79" t="s">
        <v>157</v>
      </c>
      <c r="B25" t="s">
        <v>99</v>
      </c>
      <c r="C25" s="81" t="str">
        <f t="shared" si="6"/>
        <v>Taunton Hamilton Short</v>
      </c>
      <c r="D25" t="s">
        <v>159</v>
      </c>
      <c r="E25" s="81" t="str">
        <f t="shared" si="0"/>
        <v>Lucy Bussell Short</v>
      </c>
      <c r="F25" t="s">
        <v>103</v>
      </c>
      <c r="G25">
        <v>51</v>
      </c>
      <c r="H25">
        <v>18</v>
      </c>
      <c r="I25" s="30">
        <f t="shared" si="7"/>
        <v>3.5624999999999997E-2</v>
      </c>
      <c r="J25" s="7">
        <f t="shared" si="8"/>
        <v>3.5624999999999997E-2</v>
      </c>
      <c r="K25" s="7">
        <f t="shared" si="9"/>
        <v>1</v>
      </c>
      <c r="L25" s="10">
        <f t="shared" si="10"/>
        <v>51.3</v>
      </c>
      <c r="M25" s="75"/>
      <c r="N25" s="75" t="s">
        <v>13</v>
      </c>
      <c r="O25" s="43">
        <v>630</v>
      </c>
      <c r="P25" s="44">
        <v>60</v>
      </c>
      <c r="Q25" s="45">
        <f t="shared" si="11"/>
        <v>570</v>
      </c>
      <c r="R25" s="45">
        <f>IF(VLOOKUP($A25,events!$B$4:$C$8,2,0)=$Q25,ROUNDDOWN(50-$L25,0),0)</f>
        <v>0</v>
      </c>
      <c r="S25" s="44">
        <f t="shared" si="1"/>
        <v>0</v>
      </c>
      <c r="T25" s="46">
        <f t="shared" si="12"/>
        <v>570</v>
      </c>
      <c r="U25" s="47">
        <f>ROUND($T25*1000/_xlfn.AGGREGATE(14,6,$T$9:$T$115/($C$9:$C$115=$C25),1),0)</f>
        <v>864</v>
      </c>
      <c r="V25" s="47">
        <f>1+COUNTIFS($C$9:$C$115,$C25,$U$9:$U$115,"&gt;"&amp;$U25)</f>
        <v>3</v>
      </c>
      <c r="W25" s="45">
        <f t="shared" si="2"/>
        <v>0.84</v>
      </c>
      <c r="X25" s="46">
        <f t="shared" si="13"/>
        <v>679</v>
      </c>
      <c r="Y25" s="48"/>
      <c r="Z25" s="59">
        <f>ROUND($X25*1000/_xlfn.AGGREGATE(14,6,$X$9:$X$115/($C$9:$C$115=$C25),1),0)+Y25</f>
        <v>843</v>
      </c>
      <c r="AA25" s="48"/>
      <c r="AB25" s="50">
        <f>IF($AA25="d",$B$5+1,1+SUMPRODUCT(($E$9:$E$153=$E25)*($Z$9:$Z$153&gt;$Z25)))</f>
        <v>1</v>
      </c>
      <c r="AC25" s="49">
        <f t="shared" si="3"/>
        <v>843</v>
      </c>
      <c r="AD25">
        <f>COUNTIF($E$9:$E25,$E25)</f>
        <v>1</v>
      </c>
      <c r="AE25" s="35">
        <f>SUMIF($E$9:$E$115,$E25,$AC$9:$AC$115)</f>
        <v>843</v>
      </c>
      <c r="AF25" s="35">
        <f>IF($AD25&gt;1,0,SUMIF($E$9:$E$115,$E25,$AC$9:$AC$115))</f>
        <v>843</v>
      </c>
      <c r="AG25" s="11">
        <f>IF(Z25=0,"",1+COUNTIFS($C$9:$C$115,$C25,$Z$9:$Z$115,"&gt;"&amp;$Z25))</f>
        <v>5</v>
      </c>
      <c r="AH25" t="str">
        <f t="shared" si="4"/>
        <v>Lucy Bussell- QO- W16</v>
      </c>
      <c r="AI25" s="22">
        <f t="shared" si="5"/>
        <v>843</v>
      </c>
    </row>
    <row r="26" spans="1:35" ht="14.25" customHeight="1" x14ac:dyDescent="0.25">
      <c r="A26" s="79" t="s">
        <v>157</v>
      </c>
      <c r="B26" t="s">
        <v>99</v>
      </c>
      <c r="C26" s="81" t="str">
        <f>CONCATENATE($A26," ",$B26)</f>
        <v>Taunton Hamilton Short</v>
      </c>
      <c r="D26" t="s">
        <v>146</v>
      </c>
      <c r="E26" s="81" t="str">
        <f t="shared" si="0"/>
        <v>Ray Toomer Short</v>
      </c>
      <c r="F26" t="s">
        <v>103</v>
      </c>
      <c r="G26">
        <v>55</v>
      </c>
      <c r="H26">
        <v>7</v>
      </c>
      <c r="I26" s="30">
        <f t="shared" si="7"/>
        <v>3.8275462962962963E-2</v>
      </c>
      <c r="J26" s="7">
        <f>I26</f>
        <v>3.8275462962962963E-2</v>
      </c>
      <c r="K26" s="7">
        <f>IF(I26&gt;0.4,1/60,1)</f>
        <v>1</v>
      </c>
      <c r="L26" s="10">
        <f>I26*K26*24*60</f>
        <v>55.11666666666666</v>
      </c>
      <c r="N26" s="6" t="s">
        <v>32</v>
      </c>
      <c r="O26" s="43">
        <v>670</v>
      </c>
      <c r="P26" s="44">
        <v>180</v>
      </c>
      <c r="Q26" s="45">
        <f>O26-P26</f>
        <v>490</v>
      </c>
      <c r="R26" s="45">
        <f>IF(VLOOKUP($A26,events!$B$4:$C$8,2,0)=$Q26,ROUNDDOWN(50-$L26,0),0)</f>
        <v>0</v>
      </c>
      <c r="S26" s="44">
        <f t="shared" si="1"/>
        <v>0</v>
      </c>
      <c r="T26" s="46">
        <f>Q26+S26</f>
        <v>490</v>
      </c>
      <c r="U26" s="47">
        <f>ROUND($T26*1000/_xlfn.AGGREGATE(14,6,$T$9:$T$115/($C$9:$C$115=$C26),1),0)</f>
        <v>742</v>
      </c>
      <c r="V26" s="47">
        <f>1+COUNTIFS($C$9:$C$115,$C26,$U$9:$U$115,"&gt;"&amp;$U26)</f>
        <v>4</v>
      </c>
      <c r="W26" s="45">
        <f t="shared" si="2"/>
        <v>0.7</v>
      </c>
      <c r="X26" s="46">
        <f>ROUND(T26/W26,0)</f>
        <v>700</v>
      </c>
      <c r="Y26" s="48"/>
      <c r="Z26" s="59">
        <f>ROUND($X26*1000/_xlfn.AGGREGATE(14,6,$X$9:$X$115/($C$9:$C$115=$C26),1),0)+Y26</f>
        <v>870</v>
      </c>
      <c r="AA26" s="48"/>
      <c r="AB26" s="50">
        <f>IF($AA26="d",$B$5+1,1+SUMPRODUCT(($E$9:$E$153=$E26)*($Z$9:$Z$153&gt;$Z26)))</f>
        <v>5</v>
      </c>
      <c r="AC26" s="49" t="str">
        <f t="shared" si="3"/>
        <v/>
      </c>
      <c r="AD26">
        <f>COUNTIF($E$9:$E26,$E26)</f>
        <v>1</v>
      </c>
      <c r="AE26" s="35">
        <f>SUMIF($E$9:$E$115,$E26,$AC$9:$AC$115)</f>
        <v>3000</v>
      </c>
      <c r="AF26" s="35">
        <f>IF($AD26&gt;1,0,SUMIF($E$9:$E$115,$E26,$AC$9:$AC$115))</f>
        <v>3000</v>
      </c>
      <c r="AG26" s="11">
        <f>IF(Z26=0,"",1+COUNTIFS($C$9:$C$115,$C26,$Z$9:$Z$115,"&gt;"&amp;$Z26))</f>
        <v>4</v>
      </c>
      <c r="AH26" t="str">
        <f t="shared" si="4"/>
        <v>Ray Toomer- QO- M65</v>
      </c>
      <c r="AI26" s="22" t="str">
        <f t="shared" si="5"/>
        <v/>
      </c>
    </row>
    <row r="27" spans="1:35" ht="14.25" customHeight="1" x14ac:dyDescent="0.25">
      <c r="A27" s="79" t="s">
        <v>157</v>
      </c>
      <c r="B27" t="s">
        <v>99</v>
      </c>
      <c r="C27" s="81" t="str">
        <f t="shared" ref="C27:C115" si="14">CONCATENATE($A27," ",$B27)</f>
        <v>Taunton Hamilton Short</v>
      </c>
      <c r="D27" t="s">
        <v>150</v>
      </c>
      <c r="E27" s="81" t="str">
        <f t="shared" si="0"/>
        <v>Rosie Wych Short</v>
      </c>
      <c r="F27" t="s">
        <v>103</v>
      </c>
      <c r="G27">
        <v>52</v>
      </c>
      <c r="H27">
        <v>34</v>
      </c>
      <c r="I27" s="30">
        <f t="shared" si="7"/>
        <v>3.650462962962963E-2</v>
      </c>
      <c r="J27" s="7">
        <f t="shared" ref="J27:J38" si="15">I27</f>
        <v>3.650462962962963E-2</v>
      </c>
      <c r="K27" s="7">
        <f t="shared" ref="K27:K38" si="16">IF(I27&gt;0.4,1/60,1)</f>
        <v>1</v>
      </c>
      <c r="L27" s="10">
        <f t="shared" ref="L27:L38" si="17">I27*K27*24*60</f>
        <v>52.566666666666663</v>
      </c>
      <c r="N27" s="6" t="s">
        <v>33</v>
      </c>
      <c r="O27" s="43">
        <v>560</v>
      </c>
      <c r="P27" s="44">
        <v>90</v>
      </c>
      <c r="Q27" s="45">
        <f t="shared" ref="Q27:Q41" si="18">O27-P27</f>
        <v>470</v>
      </c>
      <c r="R27" s="45">
        <f>IF(VLOOKUP($A27,events!$B$4:$C$8,2,0)=$Q27,ROUNDDOWN(50-$L27,0),0)</f>
        <v>0</v>
      </c>
      <c r="S27" s="44">
        <f t="shared" si="1"/>
        <v>0</v>
      </c>
      <c r="T27" s="46">
        <f t="shared" ref="T27:T41" si="19">Q27+S27</f>
        <v>470</v>
      </c>
      <c r="U27" s="47">
        <f>ROUND($T27*1000/_xlfn.AGGREGATE(14,6,$T$9:$T$115/($C$9:$C$115=$C27),1),0)</f>
        <v>712</v>
      </c>
      <c r="V27" s="47">
        <f>1+COUNTIFS($C$9:$C$115,$C27,$U$9:$U$115,"&gt;"&amp;$U27)</f>
        <v>5</v>
      </c>
      <c r="W27" s="45">
        <f t="shared" si="2"/>
        <v>0.61</v>
      </c>
      <c r="X27" s="46">
        <f t="shared" ref="X27:X47" si="20">ROUND(T27/W27,0)</f>
        <v>770</v>
      </c>
      <c r="Y27" s="48"/>
      <c r="Z27" s="59">
        <f>ROUND($X27*1000/_xlfn.AGGREGATE(14,6,$X$9:$X$115/($C$9:$C$115=$C27),1),0)+Y27</f>
        <v>957</v>
      </c>
      <c r="AA27" s="48"/>
      <c r="AB27" s="50">
        <f>IF($AA27="d",$B$5+1,1+SUMPRODUCT(($E$9:$E$153=$E27)*($Z$9:$Z$153&gt;$Z27)))</f>
        <v>4</v>
      </c>
      <c r="AC27" s="49" t="str">
        <f t="shared" si="3"/>
        <v/>
      </c>
      <c r="AD27">
        <f>COUNTIF($E$9:$E27,$E27)</f>
        <v>1</v>
      </c>
      <c r="AE27" s="35">
        <f>SUMIF($E$9:$E$115,$E27,$AC$9:$AC$115)</f>
        <v>2923</v>
      </c>
      <c r="AF27" s="35">
        <f>IF($AD27&gt;1,0,SUMIF($E$9:$E$115,$E27,$AC$9:$AC$115))</f>
        <v>2923</v>
      </c>
      <c r="AG27" s="11">
        <f>IF(Z27=0,"",1+COUNTIFS($C$9:$C$115,$C27,$Z$9:$Z$115,"&gt;"&amp;$Z27))</f>
        <v>2</v>
      </c>
      <c r="AH27" t="str">
        <f t="shared" si="4"/>
        <v>Rosie Wych- QO- W65</v>
      </c>
      <c r="AI27" s="22" t="str">
        <f t="shared" si="5"/>
        <v/>
      </c>
    </row>
    <row r="28" spans="1:35" ht="14.25" customHeight="1" x14ac:dyDescent="0.25">
      <c r="A28" s="79" t="s">
        <v>157</v>
      </c>
      <c r="B28" t="s">
        <v>99</v>
      </c>
      <c r="C28" s="81" t="str">
        <f t="shared" si="14"/>
        <v>Taunton Hamilton Short</v>
      </c>
      <c r="D28" t="s">
        <v>161</v>
      </c>
      <c r="E28" s="81" t="str">
        <f t="shared" si="0"/>
        <v>Sue Toomer Short</v>
      </c>
      <c r="F28" t="s">
        <v>103</v>
      </c>
      <c r="G28">
        <v>53</v>
      </c>
      <c r="H28">
        <v>49</v>
      </c>
      <c r="I28" s="30">
        <f t="shared" si="7"/>
        <v>3.7372685185185189E-2</v>
      </c>
      <c r="J28" s="7">
        <f t="shared" si="15"/>
        <v>3.7372685185185189E-2</v>
      </c>
      <c r="K28" s="7">
        <f t="shared" si="16"/>
        <v>1</v>
      </c>
      <c r="L28" s="10">
        <f t="shared" si="17"/>
        <v>53.81666666666667</v>
      </c>
      <c r="N28" s="6" t="s">
        <v>33</v>
      </c>
      <c r="O28" s="43">
        <v>370</v>
      </c>
      <c r="P28" s="44">
        <v>120</v>
      </c>
      <c r="Q28" s="45">
        <f t="shared" si="18"/>
        <v>250</v>
      </c>
      <c r="R28" s="45">
        <f>IF(VLOOKUP($A28,events!$B$4:$C$8,2,0)=$Q28,ROUNDDOWN(50-$L28,0),0)</f>
        <v>0</v>
      </c>
      <c r="S28" s="44">
        <f t="shared" si="1"/>
        <v>0</v>
      </c>
      <c r="T28" s="46">
        <f t="shared" si="19"/>
        <v>250</v>
      </c>
      <c r="U28" s="47">
        <f>ROUND($T28*1000/_xlfn.AGGREGATE(14,6,$T$9:$T$115/($C$9:$C$115=$C28),1),0)</f>
        <v>379</v>
      </c>
      <c r="V28" s="47">
        <f>1+COUNTIFS($C$9:$C$115,$C28,$U$9:$U$115,"&gt;"&amp;$U28)</f>
        <v>6</v>
      </c>
      <c r="W28" s="45">
        <f t="shared" si="2"/>
        <v>0.61</v>
      </c>
      <c r="X28" s="46">
        <f t="shared" si="20"/>
        <v>410</v>
      </c>
      <c r="Y28" s="48"/>
      <c r="Z28" s="59">
        <f>ROUND($X28*1000/_xlfn.AGGREGATE(14,6,$X$9:$X$115/($C$9:$C$115=$C28),1),0)+Y28</f>
        <v>509</v>
      </c>
      <c r="AA28" s="48"/>
      <c r="AB28" s="50">
        <f>IF($AA28="d",$B$5+1,1+SUMPRODUCT(($E$9:$E$153=$E28)*($Z$9:$Z$153&gt;$Z28)))</f>
        <v>1</v>
      </c>
      <c r="AC28" s="49">
        <f t="shared" si="3"/>
        <v>509</v>
      </c>
      <c r="AD28">
        <f>COUNTIF($E$9:$E28,$E28)</f>
        <v>1</v>
      </c>
      <c r="AE28" s="35">
        <f>SUMIF($E$9:$E$115,$E28,$AC$9:$AC$115)</f>
        <v>509</v>
      </c>
      <c r="AF28" s="35">
        <f>IF($AD28&gt;1,0,SUMIF($E$9:$E$115,$E28,$AC$9:$AC$115))</f>
        <v>509</v>
      </c>
      <c r="AG28" s="11">
        <f>IF(Z28=0,"",1+COUNTIFS($C$9:$C$115,$C28,$Z$9:$Z$115,"&gt;"&amp;$Z28))</f>
        <v>7</v>
      </c>
      <c r="AH28" t="str">
        <f t="shared" si="4"/>
        <v>Sue Toomer- QO- W65</v>
      </c>
      <c r="AI28" s="22">
        <f t="shared" si="5"/>
        <v>509</v>
      </c>
    </row>
    <row r="29" spans="1:35" ht="14.25" customHeight="1" x14ac:dyDescent="0.25">
      <c r="A29" s="79" t="s">
        <v>157</v>
      </c>
      <c r="B29" t="s">
        <v>99</v>
      </c>
      <c r="C29" s="81" t="str">
        <f t="shared" si="14"/>
        <v>Taunton Hamilton Short</v>
      </c>
      <c r="D29" t="s">
        <v>160</v>
      </c>
      <c r="E29" s="81" t="str">
        <f t="shared" si="0"/>
        <v>Sarah Hasler Short</v>
      </c>
      <c r="F29" t="s">
        <v>103</v>
      </c>
      <c r="G29">
        <v>56</v>
      </c>
      <c r="H29">
        <v>44</v>
      </c>
      <c r="I29" s="30">
        <f t="shared" si="7"/>
        <v>3.9398148148148147E-2</v>
      </c>
      <c r="J29" s="7">
        <f t="shared" si="15"/>
        <v>3.9398148148148147E-2</v>
      </c>
      <c r="K29" s="7">
        <f t="shared" si="16"/>
        <v>1</v>
      </c>
      <c r="L29" s="10">
        <f t="shared" si="17"/>
        <v>56.733333333333327</v>
      </c>
      <c r="N29" s="6" t="s">
        <v>29</v>
      </c>
      <c r="O29" s="43">
        <v>430</v>
      </c>
      <c r="P29" s="44">
        <v>210</v>
      </c>
      <c r="Q29" s="45">
        <f t="shared" si="18"/>
        <v>220</v>
      </c>
      <c r="R29" s="45">
        <f>IF(VLOOKUP($A29,events!$B$4:$C$8,2,0)=$Q29,ROUNDDOWN(50-$L29,0),0)</f>
        <v>0</v>
      </c>
      <c r="S29" s="44">
        <f t="shared" si="1"/>
        <v>0</v>
      </c>
      <c r="T29" s="46">
        <f t="shared" si="19"/>
        <v>220</v>
      </c>
      <c r="U29" s="47">
        <f>ROUND($T29*1000/_xlfn.AGGREGATE(14,6,$T$9:$T$115/($C$9:$C$115=$C29),1),0)</f>
        <v>333</v>
      </c>
      <c r="V29" s="47">
        <f>1+COUNTIFS($C$9:$C$115,$C29,$U$9:$U$115,"&gt;"&amp;$U29)</f>
        <v>7</v>
      </c>
      <c r="W29" s="45">
        <f t="shared" si="2"/>
        <v>0.7</v>
      </c>
      <c r="X29" s="46">
        <f t="shared" si="20"/>
        <v>314</v>
      </c>
      <c r="Y29" s="48"/>
      <c r="Z29" s="59">
        <f>ROUND($X29*1000/_xlfn.AGGREGATE(14,6,$X$9:$X$115/($C$9:$C$115=$C29),1),0)+Y29</f>
        <v>390</v>
      </c>
      <c r="AA29" s="48"/>
      <c r="AB29" s="50">
        <f>IF($AA29="d",$B$5+1,1+SUMPRODUCT(($E$9:$E$153=$E29)*($Z$9:$Z$153&gt;$Z29)))</f>
        <v>4</v>
      </c>
      <c r="AC29" s="49" t="str">
        <f t="shared" si="3"/>
        <v/>
      </c>
      <c r="AD29">
        <f>COUNTIF($E$9:$E29,$E29)</f>
        <v>1</v>
      </c>
      <c r="AE29" s="35">
        <f>SUMIF($E$9:$E$115,$E29,$AC$9:$AC$115)</f>
        <v>1850</v>
      </c>
      <c r="AF29" s="35">
        <f>IF($AD29&gt;1,0,SUMIF($E$9:$E$115,$E29,$AC$9:$AC$115))</f>
        <v>1850</v>
      </c>
      <c r="AG29" s="11">
        <f>IF(Z29=0,"",1+COUNTIFS($C$9:$C$115,$C29,$Z$9:$Z$115,"&gt;"&amp;$Z29))</f>
        <v>8</v>
      </c>
      <c r="AH29" t="str">
        <f t="shared" si="4"/>
        <v>Sarah Hasler- QO- W55</v>
      </c>
      <c r="AI29" s="22" t="str">
        <f t="shared" si="5"/>
        <v/>
      </c>
    </row>
    <row r="30" spans="1:35" ht="14.25" customHeight="1" x14ac:dyDescent="0.25">
      <c r="A30" s="79" t="s">
        <v>157</v>
      </c>
      <c r="B30" t="s">
        <v>99</v>
      </c>
      <c r="C30" s="81" t="str">
        <f t="shared" si="14"/>
        <v>Taunton Hamilton Short</v>
      </c>
      <c r="D30" t="s">
        <v>188</v>
      </c>
      <c r="E30" s="81" t="str">
        <f t="shared" si="0"/>
        <v>Alasdair Shaw Short</v>
      </c>
      <c r="F30" t="s">
        <v>103</v>
      </c>
      <c r="I30" s="30" t="str">
        <f t="shared" si="7"/>
        <v/>
      </c>
      <c r="J30" s="7" t="str">
        <f t="shared" ref="J30" si="21">I30</f>
        <v/>
      </c>
      <c r="K30" s="7">
        <f t="shared" ref="K30" si="22">IF(I30&gt;0.4,1/60,1)</f>
        <v>1.6666666666666666E-2</v>
      </c>
      <c r="L30" s="10" t="e">
        <f t="shared" ref="L30" si="23">I30*K30*24*60</f>
        <v>#VALUE!</v>
      </c>
      <c r="N30" s="6" t="s">
        <v>22</v>
      </c>
      <c r="O30" s="43"/>
      <c r="P30" s="44"/>
      <c r="Q30" s="45">
        <f t="shared" ref="Q30" si="24">O30-P30</f>
        <v>0</v>
      </c>
      <c r="R30" s="45">
        <f>IF(VLOOKUP($A30,events!$B$4:$C$8,2,0)=$Q30,ROUNDDOWN(50-$L30,0),0)</f>
        <v>0</v>
      </c>
      <c r="S30" s="44">
        <f t="shared" si="1"/>
        <v>0</v>
      </c>
      <c r="T30" s="46">
        <f t="shared" ref="T30" si="25">Q30+S30</f>
        <v>0</v>
      </c>
      <c r="U30" s="47">
        <f>ROUND($T30*1000/_xlfn.AGGREGATE(14,6,$T$9:$T$115/($C$9:$C$115=$C30),1),0)</f>
        <v>0</v>
      </c>
      <c r="V30" s="47">
        <f>1+COUNTIFS($C$9:$C$115,$C30,$U$9:$U$115,"&gt;"&amp;$U30)</f>
        <v>8</v>
      </c>
      <c r="W30" s="45">
        <f t="shared" si="2"/>
        <v>0.93</v>
      </c>
      <c r="X30" s="46">
        <f t="shared" ref="X30" si="26">ROUND(T30/W30,0)</f>
        <v>0</v>
      </c>
      <c r="Y30" s="48">
        <v>775</v>
      </c>
      <c r="Z30" s="59">
        <f>ROUND($X30*1000/_xlfn.AGGREGATE(14,6,$X$9:$X$115/($C$9:$C$115=$C30),1),0)+Y30</f>
        <v>775</v>
      </c>
      <c r="AA30" s="48"/>
      <c r="AB30" s="50">
        <f>IF($AA30="d",$B$5+1,1+SUMPRODUCT(($E$9:$E$153=$E30)*($Z$9:$Z$153&gt;$Z30)))</f>
        <v>3</v>
      </c>
      <c r="AC30" s="49">
        <f t="shared" si="3"/>
        <v>775</v>
      </c>
      <c r="AD30">
        <f>COUNTIF($E$9:$E30,$E30)</f>
        <v>1</v>
      </c>
      <c r="AE30" s="35">
        <f>SUMIF($E$9:$E$115,$E30,$AC$9:$AC$115)</f>
        <v>2495</v>
      </c>
      <c r="AF30" s="35">
        <f>IF($AD30&gt;1,0,SUMIF($E$9:$E$115,$E30,$AC$9:$AC$115))</f>
        <v>2495</v>
      </c>
      <c r="AG30" s="11">
        <f>IF(Z30=0,"",1+COUNTIFS($C$9:$C$115,$C30,$Z$9:$Z$115,"&gt;"&amp;$Z30))</f>
        <v>6</v>
      </c>
      <c r="AH30" t="str">
        <f t="shared" si="4"/>
        <v>Alasdair Shaw- QO- M40</v>
      </c>
      <c r="AI30" s="22">
        <f t="shared" si="5"/>
        <v>775</v>
      </c>
    </row>
    <row r="31" spans="1:35" ht="14.25" customHeight="1" x14ac:dyDescent="0.25">
      <c r="A31" s="79" t="s">
        <v>182</v>
      </c>
      <c r="B31" t="s">
        <v>3</v>
      </c>
      <c r="C31" s="81" t="str">
        <f t="shared" si="14"/>
        <v>Tiverton Long</v>
      </c>
      <c r="D31" t="s">
        <v>183</v>
      </c>
      <c r="E31" s="81" t="str">
        <f t="shared" si="0"/>
        <v>Adam Fieldhouse Long</v>
      </c>
      <c r="F31" t="s">
        <v>103</v>
      </c>
      <c r="G31">
        <v>49</v>
      </c>
      <c r="H31">
        <v>29</v>
      </c>
      <c r="I31" s="30">
        <f t="shared" si="7"/>
        <v>3.4363425925925929E-2</v>
      </c>
      <c r="J31" s="7">
        <f t="shared" si="15"/>
        <v>3.4363425925925929E-2</v>
      </c>
      <c r="K31" s="7">
        <f t="shared" si="16"/>
        <v>1</v>
      </c>
      <c r="L31" s="10">
        <f t="shared" si="17"/>
        <v>49.483333333333341</v>
      </c>
      <c r="N31" s="6" t="s">
        <v>18</v>
      </c>
      <c r="O31" s="43">
        <v>940</v>
      </c>
      <c r="P31" s="44">
        <v>0</v>
      </c>
      <c r="Q31" s="45">
        <f t="shared" si="18"/>
        <v>940</v>
      </c>
      <c r="R31" s="45">
        <f>IF(VLOOKUP($A31,events!$B$4:$C$8,2,0)=$Q31,ROUNDDOWN(50-$L31,0),0)</f>
        <v>0</v>
      </c>
      <c r="S31" s="44">
        <f t="shared" si="1"/>
        <v>0</v>
      </c>
      <c r="T31" s="46">
        <f t="shared" si="19"/>
        <v>940</v>
      </c>
      <c r="U31" s="47">
        <f>ROUND($T31*1000/_xlfn.AGGREGATE(14,6,$T$9:$T$115/($C$9:$C$115=$C31),1),0)</f>
        <v>1000</v>
      </c>
      <c r="V31" s="47">
        <f>1+COUNTIFS($C$9:$C$115,$C31,$U$9:$U$115,"&gt;"&amp;$U31)</f>
        <v>1</v>
      </c>
      <c r="W31" s="45">
        <f t="shared" si="2"/>
        <v>1</v>
      </c>
      <c r="X31" s="46">
        <f t="shared" si="20"/>
        <v>940</v>
      </c>
      <c r="Y31" s="48"/>
      <c r="Z31" s="59">
        <f>ROUND($X31*1000/_xlfn.AGGREGATE(14,6,$X$9:$X$115/($C$9:$C$115=$C31),1),0)+Y31</f>
        <v>888</v>
      </c>
      <c r="AA31" s="48"/>
      <c r="AB31" s="50">
        <f>IF($AA31="d",$B$5+1,1+SUMPRODUCT(($E$9:$E$153=$E31)*($Z$9:$Z$153&gt;$Z31)))</f>
        <v>2</v>
      </c>
      <c r="AC31" s="49">
        <f t="shared" si="3"/>
        <v>888</v>
      </c>
      <c r="AD31">
        <f>COUNTIF($E$9:$E31,$E31)</f>
        <v>1</v>
      </c>
      <c r="AE31" s="35">
        <f>SUMIF($E$9:$E$115,$E31,$AC$9:$AC$115)</f>
        <v>2719</v>
      </c>
      <c r="AF31" s="35">
        <f>IF($AD31&gt;1,0,SUMIF($E$9:$E$115,$E31,$AC$9:$AC$115))</f>
        <v>2719</v>
      </c>
      <c r="AG31" s="11">
        <f>IF(Z31=0,"",1+COUNTIFS($C$9:$C$115,$C31,$Z$9:$Z$115,"&gt;"&amp;$Z31))</f>
        <v>2</v>
      </c>
      <c r="AH31" t="str">
        <f t="shared" si="4"/>
        <v>Adam Fieldhouse- QO- M21</v>
      </c>
      <c r="AI31" s="22">
        <f t="shared" si="5"/>
        <v>888</v>
      </c>
    </row>
    <row r="32" spans="1:35" ht="14.25" customHeight="1" x14ac:dyDescent="0.25">
      <c r="A32" s="79" t="s">
        <v>182</v>
      </c>
      <c r="B32" t="s">
        <v>3</v>
      </c>
      <c r="C32" s="81" t="str">
        <f t="shared" si="14"/>
        <v>Tiverton Long</v>
      </c>
      <c r="D32" t="s">
        <v>192</v>
      </c>
      <c r="E32" s="81" t="str">
        <f t="shared" si="0"/>
        <v>Spencer Modica Long</v>
      </c>
      <c r="F32" t="s">
        <v>168</v>
      </c>
      <c r="G32">
        <v>47</v>
      </c>
      <c r="H32">
        <v>39</v>
      </c>
      <c r="I32" s="30">
        <f t="shared" si="7"/>
        <v>3.3090277777777781E-2</v>
      </c>
      <c r="J32" s="7">
        <f t="shared" ref="J32" si="27">I32</f>
        <v>3.3090277777777781E-2</v>
      </c>
      <c r="K32" s="7">
        <f t="shared" ref="K32" si="28">IF(I32&gt;0.4,1/60,1)</f>
        <v>1</v>
      </c>
      <c r="L32" s="10">
        <f t="shared" ref="L32" si="29">I32*K32*24*60</f>
        <v>47.65</v>
      </c>
      <c r="N32" s="6" t="s">
        <v>26</v>
      </c>
      <c r="O32" s="43">
        <v>900</v>
      </c>
      <c r="P32" s="44">
        <v>0</v>
      </c>
      <c r="Q32" s="45">
        <f t="shared" ref="Q32" si="30">O32-P32</f>
        <v>900</v>
      </c>
      <c r="R32" s="45">
        <f>IF(VLOOKUP($A32,events!$B$4:$C$8,2,0)=$Q32,ROUNDDOWN(50-$L32,0),0)</f>
        <v>0</v>
      </c>
      <c r="S32" s="44">
        <f t="shared" si="1"/>
        <v>0</v>
      </c>
      <c r="T32" s="46">
        <f t="shared" ref="T32" si="31">Q32+S32</f>
        <v>900</v>
      </c>
      <c r="U32" s="47">
        <f>ROUND($T32*1000/_xlfn.AGGREGATE(14,6,$T$9:$T$115/($C$9:$C$115=$C32),1),0)</f>
        <v>957</v>
      </c>
      <c r="V32" s="47">
        <f>1+COUNTIFS($C$9:$C$115,$C32,$U$9:$U$115,"&gt;"&amp;$U32)</f>
        <v>2</v>
      </c>
      <c r="W32" s="45">
        <f t="shared" si="2"/>
        <v>0.85</v>
      </c>
      <c r="X32" s="46">
        <f t="shared" ref="X32" si="32">ROUND(T32/W32,0)</f>
        <v>1059</v>
      </c>
      <c r="Y32" s="48"/>
      <c r="Z32" s="59">
        <f>ROUND($X32*1000/_xlfn.AGGREGATE(14,6,$X$9:$X$115/($C$9:$C$115=$C32),1),0)+Y32</f>
        <v>1000</v>
      </c>
      <c r="AA32" s="48"/>
      <c r="AB32" s="50">
        <f>IF($AA32="d",$B$5+1,1+SUMPRODUCT(($E$9:$E$153=$E32)*($Z$9:$Z$153&gt;$Z32)))</f>
        <v>1</v>
      </c>
      <c r="AC32" s="49">
        <f t="shared" si="3"/>
        <v>1000</v>
      </c>
      <c r="AD32">
        <f>COUNTIF($E$9:$E32,$E32)</f>
        <v>1</v>
      </c>
      <c r="AE32" s="35">
        <f>SUMIF($E$9:$E$115,$E32,$AC$9:$AC$115)</f>
        <v>1000</v>
      </c>
      <c r="AF32" s="35">
        <f>IF($AD32&gt;1,0,SUMIF($E$9:$E$115,$E32,$AC$9:$AC$115))</f>
        <v>1000</v>
      </c>
      <c r="AG32" s="11">
        <f>IF(Z32=0,"",1+COUNTIFS($C$9:$C$115,$C32,$Z$9:$Z$115,"&gt;"&amp;$Z32))</f>
        <v>1</v>
      </c>
      <c r="AH32" t="str">
        <f t="shared" si="4"/>
        <v>Spencer Modica- Devon- M50</v>
      </c>
      <c r="AI32" s="22">
        <f t="shared" si="5"/>
        <v>1000</v>
      </c>
    </row>
    <row r="33" spans="1:35" ht="14.25" customHeight="1" x14ac:dyDescent="0.25">
      <c r="A33" s="79" t="s">
        <v>182</v>
      </c>
      <c r="B33" t="s">
        <v>3</v>
      </c>
      <c r="C33" s="81" t="str">
        <f t="shared" si="14"/>
        <v>Tiverton Long</v>
      </c>
      <c r="D33" t="s">
        <v>162</v>
      </c>
      <c r="E33" s="81" t="str">
        <f t="shared" si="0"/>
        <v>Ollie Rant Long</v>
      </c>
      <c r="F33" t="s">
        <v>103</v>
      </c>
      <c r="G33">
        <v>50</v>
      </c>
      <c r="H33">
        <v>20</v>
      </c>
      <c r="I33" s="30">
        <f t="shared" si="7"/>
        <v>3.4953703703703702E-2</v>
      </c>
      <c r="J33" s="7">
        <f t="shared" si="15"/>
        <v>3.4953703703703702E-2</v>
      </c>
      <c r="K33" s="7">
        <f t="shared" si="16"/>
        <v>1</v>
      </c>
      <c r="L33" s="10">
        <f t="shared" si="17"/>
        <v>50.333333333333329</v>
      </c>
      <c r="N33" s="6" t="s">
        <v>18</v>
      </c>
      <c r="O33" s="43">
        <v>880</v>
      </c>
      <c r="P33" s="44">
        <v>0</v>
      </c>
      <c r="Q33" s="45">
        <f t="shared" si="18"/>
        <v>880</v>
      </c>
      <c r="R33" s="45">
        <f>IF(VLOOKUP($A33,events!$B$4:$C$8,2,0)=$Q33,ROUNDDOWN(50-$L33,0),0)</f>
        <v>0</v>
      </c>
      <c r="S33" s="44">
        <f t="shared" si="1"/>
        <v>0</v>
      </c>
      <c r="T33" s="46">
        <f t="shared" si="19"/>
        <v>880</v>
      </c>
      <c r="U33" s="47">
        <f>ROUND($T33*1000/_xlfn.AGGREGATE(14,6,$T$9:$T$115/($C$9:$C$115=$C33),1),0)</f>
        <v>936</v>
      </c>
      <c r="V33" s="47">
        <f>1+COUNTIFS($C$9:$C$115,$C33,$U$9:$U$115,"&gt;"&amp;$U33)</f>
        <v>3</v>
      </c>
      <c r="W33" s="45">
        <f t="shared" si="2"/>
        <v>1</v>
      </c>
      <c r="X33" s="46">
        <f t="shared" si="20"/>
        <v>880</v>
      </c>
      <c r="Y33" s="48"/>
      <c r="Z33" s="59">
        <f>ROUND($X33*1000/_xlfn.AGGREGATE(14,6,$X$9:$X$115/($C$9:$C$115=$C33),1),0)+Y33</f>
        <v>831</v>
      </c>
      <c r="AA33" s="48"/>
      <c r="AB33" s="50">
        <f>IF($AA33="d",$B$5+1,1+SUMPRODUCT(($E$9:$E$153=$E33)*($Z$9:$Z$153&gt;$Z33)))</f>
        <v>4</v>
      </c>
      <c r="AC33" s="49" t="str">
        <f t="shared" si="3"/>
        <v/>
      </c>
      <c r="AD33">
        <f>COUNTIF($E$9:$E33,$E33)</f>
        <v>2</v>
      </c>
      <c r="AE33" s="35">
        <f>SUMIF($E$9:$E$115,$E33,$AC$9:$AC$115)</f>
        <v>2858</v>
      </c>
      <c r="AF33" s="35">
        <f>IF($AD33&gt;1,0,SUMIF($E$9:$E$115,$E33,$AC$9:$AC$115))</f>
        <v>0</v>
      </c>
      <c r="AG33" s="11">
        <f>IF(Z33=0,"",1+COUNTIFS($C$9:$C$115,$C33,$Z$9:$Z$115,"&gt;"&amp;$Z33))</f>
        <v>4</v>
      </c>
      <c r="AH33" t="str">
        <f t="shared" si="4"/>
        <v>Ollie Rant- QO- M21</v>
      </c>
      <c r="AI33" s="22" t="str">
        <f t="shared" si="5"/>
        <v/>
      </c>
    </row>
    <row r="34" spans="1:35" ht="14.25" customHeight="1" x14ac:dyDescent="0.25">
      <c r="A34" s="79" t="s">
        <v>182</v>
      </c>
      <c r="B34" t="s">
        <v>3</v>
      </c>
      <c r="C34" s="81" t="str">
        <f t="shared" si="14"/>
        <v>Tiverton Long</v>
      </c>
      <c r="D34" t="s">
        <v>108</v>
      </c>
      <c r="E34" s="81" t="str">
        <f t="shared" si="0"/>
        <v>Robin Fieldhouse Long</v>
      </c>
      <c r="F34" t="s">
        <v>103</v>
      </c>
      <c r="G34">
        <v>50</v>
      </c>
      <c r="H34">
        <v>40</v>
      </c>
      <c r="I34" s="30">
        <f t="shared" si="7"/>
        <v>3.5185185185185187E-2</v>
      </c>
      <c r="J34" s="7">
        <f t="shared" si="15"/>
        <v>3.5185185185185187E-2</v>
      </c>
      <c r="K34" s="7">
        <f t="shared" si="16"/>
        <v>1</v>
      </c>
      <c r="L34" s="10">
        <f t="shared" si="17"/>
        <v>50.666666666666671</v>
      </c>
      <c r="N34" s="6" t="s">
        <v>18</v>
      </c>
      <c r="O34" s="43">
        <v>850</v>
      </c>
      <c r="P34" s="44">
        <v>30</v>
      </c>
      <c r="Q34" s="45">
        <f t="shared" si="18"/>
        <v>820</v>
      </c>
      <c r="R34" s="45">
        <f>IF(VLOOKUP($A34,events!$B$4:$C$8,2,0)=$Q34,ROUNDDOWN(50-$L34,0),0)</f>
        <v>0</v>
      </c>
      <c r="S34" s="44">
        <f t="shared" si="1"/>
        <v>0</v>
      </c>
      <c r="T34" s="46">
        <f t="shared" si="19"/>
        <v>820</v>
      </c>
      <c r="U34" s="47">
        <f>ROUND($T34*1000/_xlfn.AGGREGATE(14,6,$T$9:$T$115/($C$9:$C$115=$C34),1),0)</f>
        <v>872</v>
      </c>
      <c r="V34" s="47">
        <f>1+COUNTIFS($C$9:$C$115,$C34,$U$9:$U$115,"&gt;"&amp;$U34)</f>
        <v>4</v>
      </c>
      <c r="W34" s="45">
        <f t="shared" si="2"/>
        <v>1</v>
      </c>
      <c r="X34" s="46">
        <f t="shared" si="20"/>
        <v>820</v>
      </c>
      <c r="Y34" s="48"/>
      <c r="Z34" s="59">
        <f>ROUND($X34*1000/_xlfn.AGGREGATE(14,6,$X$9:$X$115/($C$9:$C$115=$C34),1),0)+Y34</f>
        <v>774</v>
      </c>
      <c r="AA34" s="48"/>
      <c r="AB34" s="50">
        <f>IF($AA34="d",$B$5+1,1+SUMPRODUCT(($E$9:$E$153=$E34)*($Z$9:$Z$153&gt;$Z34)))</f>
        <v>4</v>
      </c>
      <c r="AC34" s="49" t="str">
        <f t="shared" si="3"/>
        <v/>
      </c>
      <c r="AD34">
        <f>COUNTIF($E$9:$E34,$E34)</f>
        <v>2</v>
      </c>
      <c r="AE34" s="35">
        <f>SUMIF($E$9:$E$115,$E34,$AC$9:$AC$115)</f>
        <v>2600</v>
      </c>
      <c r="AF34" s="35">
        <f>IF($AD34&gt;1,0,SUMIF($E$9:$E$115,$E34,$AC$9:$AC$115))</f>
        <v>0</v>
      </c>
      <c r="AG34" s="11">
        <f>IF(Z34=0,"",1+COUNTIFS($C$9:$C$115,$C34,$Z$9:$Z$115,"&gt;"&amp;$Z34))</f>
        <v>6</v>
      </c>
      <c r="AH34" t="str">
        <f t="shared" si="4"/>
        <v>Robin Fieldhouse- QO- M21</v>
      </c>
      <c r="AI34" s="22" t="str">
        <f t="shared" si="5"/>
        <v/>
      </c>
    </row>
    <row r="35" spans="1:35" ht="14.25" customHeight="1" x14ac:dyDescent="0.25">
      <c r="A35" s="79" t="s">
        <v>182</v>
      </c>
      <c r="B35" t="s">
        <v>3</v>
      </c>
      <c r="C35" s="81" t="str">
        <f t="shared" si="14"/>
        <v>Tiverton Long</v>
      </c>
      <c r="D35" t="s">
        <v>184</v>
      </c>
      <c r="E35" s="81" t="str">
        <f t="shared" si="0"/>
        <v>Angela Modica Long</v>
      </c>
      <c r="F35" t="s">
        <v>103</v>
      </c>
      <c r="G35">
        <v>48</v>
      </c>
      <c r="H35">
        <v>5</v>
      </c>
      <c r="I35" s="30">
        <f t="shared" si="7"/>
        <v>3.3391203703703708E-2</v>
      </c>
      <c r="J35" s="7">
        <f t="shared" si="15"/>
        <v>3.3391203703703708E-2</v>
      </c>
      <c r="K35" s="7">
        <f t="shared" si="16"/>
        <v>1</v>
      </c>
      <c r="L35" s="10">
        <f t="shared" si="17"/>
        <v>48.083333333333336</v>
      </c>
      <c r="N35" s="6" t="s">
        <v>25</v>
      </c>
      <c r="O35" s="43">
        <v>740</v>
      </c>
      <c r="P35" s="44">
        <v>0</v>
      </c>
      <c r="Q35" s="45">
        <f t="shared" si="18"/>
        <v>740</v>
      </c>
      <c r="R35" s="45">
        <f>IF(VLOOKUP($A35,events!$B$4:$C$8,2,0)=$Q35,ROUNDDOWN(50-$L35,0),0)</f>
        <v>0</v>
      </c>
      <c r="S35" s="44">
        <f t="shared" si="1"/>
        <v>0</v>
      </c>
      <c r="T35" s="46">
        <f t="shared" si="19"/>
        <v>740</v>
      </c>
      <c r="U35" s="47">
        <f>ROUND($T35*1000/_xlfn.AGGREGATE(14,6,$T$9:$T$115/($C$9:$C$115=$C35),1),0)</f>
        <v>787</v>
      </c>
      <c r="V35" s="47">
        <f>1+COUNTIFS($C$9:$C$115,$C35,$U$9:$U$115,"&gt;"&amp;$U35)</f>
        <v>5</v>
      </c>
      <c r="W35" s="45">
        <f t="shared" si="2"/>
        <v>0.79</v>
      </c>
      <c r="X35" s="46">
        <f t="shared" si="20"/>
        <v>937</v>
      </c>
      <c r="Y35" s="48"/>
      <c r="Z35" s="59">
        <f>ROUND($X35*1000/_xlfn.AGGREGATE(14,6,$X$9:$X$115/($C$9:$C$115=$C35),1),0)+Y35</f>
        <v>885</v>
      </c>
      <c r="AA35" s="48"/>
      <c r="AB35" s="50">
        <f>IF($AA35="d",$B$5+1,1+SUMPRODUCT(($E$9:$E$153=$E35)*($Z$9:$Z$153&gt;$Z35)))</f>
        <v>1</v>
      </c>
      <c r="AC35" s="49">
        <f t="shared" si="3"/>
        <v>885</v>
      </c>
      <c r="AD35">
        <f>COUNTIF($E$9:$E35,$E35)</f>
        <v>1</v>
      </c>
      <c r="AE35" s="35">
        <f>SUMIF($E$9:$E$115,$E35,$AC$9:$AC$115)</f>
        <v>885</v>
      </c>
      <c r="AF35" s="35">
        <f>IF($AD35&gt;1,0,SUMIF($E$9:$E$115,$E35,$AC$9:$AC$115))</f>
        <v>885</v>
      </c>
      <c r="AG35" s="11">
        <f>IF(Z35=0,"",1+COUNTIFS($C$9:$C$115,$C35,$Z$9:$Z$115,"&gt;"&amp;$Z35))</f>
        <v>3</v>
      </c>
      <c r="AH35" t="str">
        <f t="shared" si="4"/>
        <v>Angela Modica- QO- W45</v>
      </c>
      <c r="AI35" s="22">
        <f t="shared" si="5"/>
        <v>885</v>
      </c>
    </row>
    <row r="36" spans="1:35" ht="14.25" customHeight="1" x14ac:dyDescent="0.25">
      <c r="A36" s="79" t="s">
        <v>182</v>
      </c>
      <c r="B36" t="s">
        <v>3</v>
      </c>
      <c r="C36" s="81" t="str">
        <f t="shared" si="14"/>
        <v>Tiverton Long</v>
      </c>
      <c r="D36" t="s">
        <v>185</v>
      </c>
      <c r="E36" s="81" t="str">
        <f t="shared" si="0"/>
        <v>Elliot Smith Long</v>
      </c>
      <c r="F36" t="s">
        <v>169</v>
      </c>
      <c r="G36">
        <v>44</v>
      </c>
      <c r="H36">
        <v>54</v>
      </c>
      <c r="I36" s="30">
        <f t="shared" si="7"/>
        <v>3.1180555555555555E-2</v>
      </c>
      <c r="J36" s="7">
        <f t="shared" si="15"/>
        <v>3.1180555555555555E-2</v>
      </c>
      <c r="K36" s="7">
        <f t="shared" si="16"/>
        <v>1</v>
      </c>
      <c r="L36" s="10">
        <f t="shared" si="17"/>
        <v>44.9</v>
      </c>
      <c r="N36" s="6" t="s">
        <v>16</v>
      </c>
      <c r="O36" s="43">
        <v>610</v>
      </c>
      <c r="P36" s="44">
        <v>0</v>
      </c>
      <c r="Q36" s="45">
        <f t="shared" si="18"/>
        <v>610</v>
      </c>
      <c r="R36" s="45">
        <f>IF(VLOOKUP($A36,events!$B$4:$C$8,2,0)=$Q36,ROUNDDOWN(50-$L36,0),0)</f>
        <v>0</v>
      </c>
      <c r="S36" s="44">
        <f t="shared" si="1"/>
        <v>0</v>
      </c>
      <c r="T36" s="46">
        <f t="shared" si="19"/>
        <v>610</v>
      </c>
      <c r="U36" s="47">
        <f>ROUND($T36*1000/_xlfn.AGGREGATE(14,6,$T$9:$T$115/($C$9:$C$115=$C36),1),0)</f>
        <v>649</v>
      </c>
      <c r="V36" s="47">
        <f>1+COUNTIFS($C$9:$C$115,$C36,$U$9:$U$115,"&gt;"&amp;$U36)</f>
        <v>6</v>
      </c>
      <c r="W36" s="45">
        <f t="shared" si="2"/>
        <v>0.98</v>
      </c>
      <c r="X36" s="46">
        <f t="shared" si="20"/>
        <v>622</v>
      </c>
      <c r="Y36" s="48"/>
      <c r="Z36" s="59">
        <f>ROUND($X36*1000/_xlfn.AGGREGATE(14,6,$X$9:$X$115/($C$9:$C$115=$C36),1),0)+Y36</f>
        <v>587</v>
      </c>
      <c r="AA36" s="48"/>
      <c r="AB36" s="50">
        <f>IF($AA36="d",$B$5+1,1+SUMPRODUCT(($E$9:$E$153=$E36)*($Z$9:$Z$153&gt;$Z36)))</f>
        <v>1</v>
      </c>
      <c r="AC36" s="49" t="str">
        <f t="shared" si="3"/>
        <v/>
      </c>
      <c r="AD36">
        <f>COUNTIF($E$9:$E36,$E36)</f>
        <v>1</v>
      </c>
      <c r="AE36" s="35">
        <f>SUMIF($E$9:$E$115,$E36,$AC$9:$AC$115)</f>
        <v>0</v>
      </c>
      <c r="AF36" s="35">
        <f>IF($AD36&gt;1,0,SUMIF($E$9:$E$115,$E36,$AC$9:$AC$115))</f>
        <v>0</v>
      </c>
      <c r="AG36" s="11">
        <f>IF(Z36=0,"",1+COUNTIFS($C$9:$C$115,$C36,$Z$9:$Z$115,"&gt;"&amp;$Z36))</f>
        <v>8</v>
      </c>
      <c r="AH36" t="str">
        <f t="shared" si="4"/>
        <v>Elliot Smith- Ind- M20</v>
      </c>
      <c r="AI36" s="22" t="str">
        <f t="shared" si="5"/>
        <v/>
      </c>
    </row>
    <row r="37" spans="1:35" ht="14.25" customHeight="1" x14ac:dyDescent="0.25">
      <c r="A37" s="79" t="s">
        <v>182</v>
      </c>
      <c r="B37" t="s">
        <v>3</v>
      </c>
      <c r="C37" s="81" t="str">
        <f t="shared" si="14"/>
        <v>Tiverton Long</v>
      </c>
      <c r="D37" t="s">
        <v>186</v>
      </c>
      <c r="E37" s="81" t="str">
        <f t="shared" si="0"/>
        <v>Thomas Hasler Long</v>
      </c>
      <c r="F37" t="s">
        <v>103</v>
      </c>
      <c r="G37">
        <v>56</v>
      </c>
      <c r="H37">
        <v>13</v>
      </c>
      <c r="I37" s="30">
        <f t="shared" si="7"/>
        <v>3.9039351851851853E-2</v>
      </c>
      <c r="J37" s="7">
        <f t="shared" si="15"/>
        <v>3.9039351851851853E-2</v>
      </c>
      <c r="K37" s="7">
        <f t="shared" si="16"/>
        <v>1</v>
      </c>
      <c r="L37" s="10">
        <f t="shared" si="17"/>
        <v>56.216666666666669</v>
      </c>
      <c r="M37" s="6" t="s">
        <v>16</v>
      </c>
      <c r="N37" s="6" t="s">
        <v>14</v>
      </c>
      <c r="O37" s="43">
        <v>710</v>
      </c>
      <c r="P37" s="44">
        <v>210</v>
      </c>
      <c r="Q37" s="45">
        <f t="shared" si="18"/>
        <v>500</v>
      </c>
      <c r="R37" s="45">
        <f>IF(VLOOKUP($A37,events!$B$4:$C$8,2,0)=$Q37,ROUNDDOWN(50-$L37,0),0)</f>
        <v>0</v>
      </c>
      <c r="S37" s="44">
        <f t="shared" si="1"/>
        <v>0</v>
      </c>
      <c r="T37" s="46">
        <f t="shared" si="19"/>
        <v>500</v>
      </c>
      <c r="U37" s="47">
        <f>ROUND($T37*1000/_xlfn.AGGREGATE(14,6,$T$9:$T$115/($C$9:$C$115=$C37),1),0)</f>
        <v>532</v>
      </c>
      <c r="V37" s="47">
        <f>1+COUNTIFS($C$9:$C$115,$C37,$U$9:$U$115,"&gt;"&amp;$U37)</f>
        <v>7</v>
      </c>
      <c r="W37" s="45">
        <f t="shared" si="2"/>
        <v>0.96</v>
      </c>
      <c r="X37" s="46">
        <f t="shared" si="20"/>
        <v>521</v>
      </c>
      <c r="Y37" s="48"/>
      <c r="Z37" s="59">
        <f>ROUND($X37*1000/_xlfn.AGGREGATE(14,6,$X$9:$X$115/($C$9:$C$115=$C37),1),0)+Y37</f>
        <v>492</v>
      </c>
      <c r="AA37" s="48"/>
      <c r="AB37" s="50">
        <f>IF($AA37="d",$B$5+1,1+SUMPRODUCT(($E$9:$E$153=$E37)*($Z$9:$Z$153&gt;$Z37)))</f>
        <v>1</v>
      </c>
      <c r="AC37" s="49">
        <f t="shared" si="3"/>
        <v>492</v>
      </c>
      <c r="AD37">
        <f>COUNTIF($E$9:$E37,$E37)</f>
        <v>1</v>
      </c>
      <c r="AE37" s="35">
        <f>SUMIF($E$9:$E$115,$E37,$AC$9:$AC$115)</f>
        <v>984</v>
      </c>
      <c r="AF37" s="35">
        <f>IF($AD37&gt;1,0,SUMIF($E$9:$E$115,$E37,$AC$9:$AC$115))</f>
        <v>984</v>
      </c>
      <c r="AG37" s="11">
        <f>IF(Z37=0,"",1+COUNTIFS($C$9:$C$115,$C37,$Z$9:$Z$115,"&gt;"&amp;$Z37))</f>
        <v>9</v>
      </c>
      <c r="AH37" t="str">
        <f>CONCATENATE($D37,"- ",$F37,"- ",IF($M37="",$N37,$M37))</f>
        <v>Thomas Hasler- QO- M20</v>
      </c>
      <c r="AI37" s="22">
        <f t="shared" si="5"/>
        <v>492</v>
      </c>
    </row>
    <row r="38" spans="1:35" ht="14.25" customHeight="1" x14ac:dyDescent="0.25">
      <c r="A38" s="79" t="s">
        <v>182</v>
      </c>
      <c r="B38" t="s">
        <v>3</v>
      </c>
      <c r="C38" s="81" t="str">
        <f t="shared" si="14"/>
        <v>Tiverton Long</v>
      </c>
      <c r="D38" t="s">
        <v>187</v>
      </c>
      <c r="E38" s="81" t="str">
        <f t="shared" si="0"/>
        <v>Stephen Lysaczenko Long</v>
      </c>
      <c r="F38" t="s">
        <v>103</v>
      </c>
      <c r="G38">
        <v>54</v>
      </c>
      <c r="H38">
        <v>32</v>
      </c>
      <c r="I38" s="30">
        <f t="shared" si="7"/>
        <v>3.7870370370370367E-2</v>
      </c>
      <c r="J38" s="7">
        <f t="shared" si="15"/>
        <v>3.7870370370370367E-2</v>
      </c>
      <c r="K38" s="7">
        <f t="shared" si="16"/>
        <v>1</v>
      </c>
      <c r="L38" s="10">
        <f t="shared" si="17"/>
        <v>54.533333333333331</v>
      </c>
      <c r="N38" s="6" t="s">
        <v>28</v>
      </c>
      <c r="O38" s="43">
        <v>500</v>
      </c>
      <c r="P38" s="44">
        <v>150</v>
      </c>
      <c r="Q38" s="45">
        <f t="shared" si="18"/>
        <v>350</v>
      </c>
      <c r="R38" s="45">
        <f>IF(VLOOKUP($A38,events!$B$4:$C$8,2,0)=$Q38,ROUNDDOWN(50-$L38,0),0)</f>
        <v>0</v>
      </c>
      <c r="S38" s="44">
        <f t="shared" si="1"/>
        <v>0</v>
      </c>
      <c r="T38" s="46">
        <f t="shared" si="19"/>
        <v>350</v>
      </c>
      <c r="U38" s="47">
        <f>ROUND($T38*1000/_xlfn.AGGREGATE(14,6,$T$9:$T$115/($C$9:$C$115=$C38),1),0)</f>
        <v>372</v>
      </c>
      <c r="V38" s="47">
        <f>1+COUNTIFS($C$9:$C$115,$C38,$U$9:$U$115,"&gt;"&amp;$U38)</f>
        <v>9</v>
      </c>
      <c r="W38" s="45">
        <f t="shared" si="2"/>
        <v>0.82</v>
      </c>
      <c r="X38" s="46">
        <f t="shared" si="20"/>
        <v>427</v>
      </c>
      <c r="Y38" s="48"/>
      <c r="Z38" s="59">
        <f>ROUND($X38*1000/_xlfn.AGGREGATE(14,6,$X$9:$X$115/($C$9:$C$115=$C38),1),0)+Y38</f>
        <v>403</v>
      </c>
      <c r="AA38" s="48"/>
      <c r="AB38" s="50">
        <f>IF($AA38="d",$B$5+1,1+SUMPRODUCT(($E$9:$E$153=$E38)*($Z$9:$Z$153&gt;$Z38)))</f>
        <v>2</v>
      </c>
      <c r="AC38" s="49">
        <f t="shared" si="3"/>
        <v>403</v>
      </c>
      <c r="AD38">
        <f>COUNTIF($E$9:$E38,$E38)</f>
        <v>1</v>
      </c>
      <c r="AE38" s="35">
        <f>SUMIF($E$9:$E$115,$E38,$AC$9:$AC$115)</f>
        <v>1507</v>
      </c>
      <c r="AF38" s="35">
        <f>IF($AD38&gt;1,0,SUMIF($E$9:$E$115,$E38,$AC$9:$AC$115))</f>
        <v>1507</v>
      </c>
      <c r="AG38" s="11">
        <f>IF(Z38=0,"",1+COUNTIFS($C$9:$C$115,$C38,$Z$9:$Z$115,"&gt;"&amp;$Z38))</f>
        <v>11</v>
      </c>
      <c r="AH38" t="str">
        <f t="shared" ref="AH38:AH115" si="33">CONCATENATE($D38,"- ",$F38,"- ",IF($M38="",$N38,$M38))</f>
        <v>Stephen Lysaczenko- QO- M55</v>
      </c>
      <c r="AI38" s="22">
        <f t="shared" si="5"/>
        <v>403</v>
      </c>
    </row>
    <row r="39" spans="1:35" ht="14.25" customHeight="1" x14ac:dyDescent="0.25">
      <c r="A39" s="79" t="s">
        <v>182</v>
      </c>
      <c r="B39" t="s">
        <v>3</v>
      </c>
      <c r="C39" s="81" t="str">
        <f t="shared" si="14"/>
        <v>Tiverton Long</v>
      </c>
      <c r="D39" t="s">
        <v>194</v>
      </c>
      <c r="E39" s="81" t="str">
        <f t="shared" si="0"/>
        <v>Chris Philip Long</v>
      </c>
      <c r="F39" t="s">
        <v>103</v>
      </c>
      <c r="G39">
        <v>54</v>
      </c>
      <c r="H39">
        <v>32</v>
      </c>
      <c r="I39" s="30">
        <f t="shared" si="7"/>
        <v>3.7870370370370367E-2</v>
      </c>
      <c r="J39" s="7">
        <f t="shared" ref="J39" si="34">I39</f>
        <v>3.7870370370370367E-2</v>
      </c>
      <c r="K39" s="7">
        <f t="shared" ref="K39" si="35">IF(I39&gt;0.4,1/60,1)</f>
        <v>1</v>
      </c>
      <c r="L39" s="10">
        <f t="shared" ref="L39" si="36">I39*K39*24*60</f>
        <v>54.533333333333331</v>
      </c>
      <c r="N39" s="6" t="s">
        <v>32</v>
      </c>
      <c r="O39" s="43">
        <v>540</v>
      </c>
      <c r="P39" s="44">
        <v>180</v>
      </c>
      <c r="Q39" s="45">
        <f t="shared" ref="Q39:Q40" si="37">O39-P39</f>
        <v>360</v>
      </c>
      <c r="R39" s="45">
        <f>IF(VLOOKUP($A39,events!$B$4:$C$8,2,0)=$Q39,ROUNDDOWN(50-$L39,0),0)</f>
        <v>0</v>
      </c>
      <c r="S39" s="44">
        <f t="shared" si="1"/>
        <v>0</v>
      </c>
      <c r="T39" s="46">
        <f t="shared" ref="T39:T40" si="38">Q39+S39</f>
        <v>360</v>
      </c>
      <c r="U39" s="47">
        <f>ROUND($T39*1000/_xlfn.AGGREGATE(14,6,$T$9:$T$115/($C$9:$C$115=$C39),1),0)</f>
        <v>383</v>
      </c>
      <c r="V39" s="47">
        <f>1+COUNTIFS($C$9:$C$115,$C39,$U$9:$U$115,"&gt;"&amp;$U39)</f>
        <v>8</v>
      </c>
      <c r="W39" s="45">
        <f t="shared" si="2"/>
        <v>0.7</v>
      </c>
      <c r="X39" s="46">
        <f t="shared" ref="X39:X40" si="39">ROUND(T39/W39,0)</f>
        <v>514</v>
      </c>
      <c r="Y39" s="48"/>
      <c r="Z39" s="59">
        <f>ROUND($X39*1000/_xlfn.AGGREGATE(14,6,$X$9:$X$115/($C$9:$C$115=$C39),1),0)+Y39</f>
        <v>485</v>
      </c>
      <c r="AA39" s="48"/>
      <c r="AB39" s="50">
        <f>IF($AA39="d",$B$5+1,1+SUMPRODUCT(($E$9:$E$153=$E39)*($Z$9:$Z$153&gt;$Z39)))</f>
        <v>4</v>
      </c>
      <c r="AC39" s="49" t="str">
        <f t="shared" si="3"/>
        <v/>
      </c>
      <c r="AD39">
        <f>COUNTIF($E$9:$E39,$E39)</f>
        <v>1</v>
      </c>
      <c r="AE39" s="35">
        <f>SUMIF($E$9:$E$115,$E39,$AC$9:$AC$115)</f>
        <v>2863</v>
      </c>
      <c r="AF39" s="35">
        <f>IF($AD39&gt;1,0,SUMIF($E$9:$E$115,$E39,$AC$9:$AC$115))</f>
        <v>2863</v>
      </c>
      <c r="AG39" s="11">
        <f>IF(Z39=0,"",1+COUNTIFS($C$9:$C$115,$C39,$Z$9:$Z$115,"&gt;"&amp;$Z39))</f>
        <v>10</v>
      </c>
      <c r="AH39" t="str">
        <f t="shared" si="33"/>
        <v>Chris Philip- QO- M65</v>
      </c>
      <c r="AI39" s="22" t="str">
        <f t="shared" si="5"/>
        <v/>
      </c>
    </row>
    <row r="40" spans="1:35" ht="14.25" customHeight="1" x14ac:dyDescent="0.25">
      <c r="A40" s="79" t="s">
        <v>182</v>
      </c>
      <c r="B40" t="s">
        <v>3</v>
      </c>
      <c r="C40" s="81" t="str">
        <f t="shared" si="14"/>
        <v>Tiverton Long</v>
      </c>
      <c r="D40" t="s">
        <v>110</v>
      </c>
      <c r="E40" s="81" t="str">
        <f t="shared" si="0"/>
        <v>Simon St Leger-Harris Long</v>
      </c>
      <c r="F40" t="s">
        <v>103</v>
      </c>
      <c r="I40" s="30" t="str">
        <f t="shared" si="7"/>
        <v/>
      </c>
      <c r="J40" s="7" t="str">
        <f t="shared" ref="J40:J41" si="40">I40</f>
        <v/>
      </c>
      <c r="K40" s="7">
        <f t="shared" ref="K40:K41" si="41">IF(I40&gt;0.4,1/60,1)</f>
        <v>1.6666666666666666E-2</v>
      </c>
      <c r="L40" s="10" t="e">
        <f t="shared" ref="L40:L41" si="42">I40*K40*24*60</f>
        <v>#VALUE!</v>
      </c>
      <c r="N40" s="6" t="s">
        <v>32</v>
      </c>
      <c r="O40" s="43"/>
      <c r="P40" s="44"/>
      <c r="Q40" s="45">
        <f t="shared" si="37"/>
        <v>0</v>
      </c>
      <c r="R40" s="45">
        <f>IF(VLOOKUP($A40,events!$B$4:$C$8,2,0)=$Q40,ROUNDDOWN(50-$L40,0),0)</f>
        <v>0</v>
      </c>
      <c r="S40" s="44">
        <f t="shared" si="1"/>
        <v>0</v>
      </c>
      <c r="T40" s="46">
        <f t="shared" si="38"/>
        <v>0</v>
      </c>
      <c r="U40" s="47">
        <f>ROUND($T40*1000/_xlfn.AGGREGATE(14,6,$T$9:$T$115/($C$9:$C$115=$C40),1),0)</f>
        <v>0</v>
      </c>
      <c r="V40" s="47">
        <f>1+COUNTIFS($C$9:$C$115,$C40,$U$9:$U$115,"&gt;"&amp;$U40)</f>
        <v>10</v>
      </c>
      <c r="W40" s="45">
        <f t="shared" si="2"/>
        <v>0.7</v>
      </c>
      <c r="X40" s="46">
        <f t="shared" si="39"/>
        <v>0</v>
      </c>
      <c r="Y40" s="48">
        <v>744</v>
      </c>
      <c r="Z40" s="59">
        <f>ROUND($X40*1000/_xlfn.AGGREGATE(14,6,$X$9:$X$115/($C$9:$C$115=$C40),1),0)+Y40</f>
        <v>744</v>
      </c>
      <c r="AA40" s="48"/>
      <c r="AB40" s="50">
        <f>IF($AA40="d",$B$5+1,1+SUMPRODUCT(($E$9:$E$153=$E40)*($Z$9:$Z$153&gt;$Z40)))</f>
        <v>3</v>
      </c>
      <c r="AC40" s="49">
        <f t="shared" si="3"/>
        <v>744</v>
      </c>
      <c r="AD40">
        <f>COUNTIF($E$9:$E40,$E40)</f>
        <v>2</v>
      </c>
      <c r="AE40" s="35">
        <f>SUMIF($E$9:$E$115,$E40,$AC$9:$AC$115)</f>
        <v>2425</v>
      </c>
      <c r="AF40" s="35">
        <f>IF($AD40&gt;1,0,SUMIF($E$9:$E$115,$E40,$AC$9:$AC$115))</f>
        <v>0</v>
      </c>
      <c r="AG40" s="11">
        <f>IF(Z40=0,"",1+COUNTIFS($C$9:$C$115,$C40,$Z$9:$Z$115,"&gt;"&amp;$Z40))</f>
        <v>7</v>
      </c>
      <c r="AH40" t="str">
        <f t="shared" si="33"/>
        <v>Simon St Leger-Harris- QO- M65</v>
      </c>
      <c r="AI40" s="22">
        <f t="shared" si="5"/>
        <v>744</v>
      </c>
    </row>
    <row r="41" spans="1:35" ht="14.25" customHeight="1" x14ac:dyDescent="0.25">
      <c r="A41" s="79" t="s">
        <v>182</v>
      </c>
      <c r="B41" t="s">
        <v>3</v>
      </c>
      <c r="C41" s="81" t="str">
        <f t="shared" si="14"/>
        <v>Tiverton Long</v>
      </c>
      <c r="D41" t="s">
        <v>165</v>
      </c>
      <c r="E41" s="81" t="str">
        <f t="shared" si="0"/>
        <v>Miffy Treherne Long</v>
      </c>
      <c r="F41" t="s">
        <v>103</v>
      </c>
      <c r="I41" s="30" t="str">
        <f t="shared" si="7"/>
        <v/>
      </c>
      <c r="J41" s="7" t="str">
        <f t="shared" si="40"/>
        <v/>
      </c>
      <c r="K41" s="7">
        <f t="shared" si="41"/>
        <v>1.6666666666666666E-2</v>
      </c>
      <c r="L41" s="10" t="e">
        <f t="shared" si="42"/>
        <v>#VALUE!</v>
      </c>
      <c r="N41" s="6" t="s">
        <v>27</v>
      </c>
      <c r="O41" s="43"/>
      <c r="P41" s="44"/>
      <c r="Q41" s="45">
        <f t="shared" si="18"/>
        <v>0</v>
      </c>
      <c r="R41" s="45">
        <f>IF(VLOOKUP($A41,events!$B$4:$C$8,2,0)=$Q41,ROUNDDOWN(50-$L41,0),0)</f>
        <v>0</v>
      </c>
      <c r="S41" s="44">
        <f t="shared" ref="S41:S115" si="43">$R41*$S$7</f>
        <v>0</v>
      </c>
      <c r="T41" s="46">
        <f t="shared" si="19"/>
        <v>0</v>
      </c>
      <c r="U41" s="47">
        <f>ROUND($T41*1000/_xlfn.AGGREGATE(14,6,$T$9:$T$115/($C$9:$C$115=$C41),1),0)</f>
        <v>0</v>
      </c>
      <c r="V41" s="47">
        <f>1+COUNTIFS($C$9:$C$115,$C41,$U$9:$U$115,"&gt;"&amp;$U41)</f>
        <v>10</v>
      </c>
      <c r="W41" s="45">
        <f t="shared" ref="W41:W115" si="44">VLOOKUP($N41,HANDI,2,0)</f>
        <v>0.75</v>
      </c>
      <c r="X41" s="46">
        <f t="shared" si="20"/>
        <v>0</v>
      </c>
      <c r="Y41" s="48">
        <v>821</v>
      </c>
      <c r="Z41" s="59">
        <f>ROUND($X41*1000/_xlfn.AGGREGATE(14,6,$X$9:$X$115/($C$9:$C$115=$C41),1),0)+Y41</f>
        <v>821</v>
      </c>
      <c r="AA41" s="48"/>
      <c r="AB41" s="50">
        <f>IF($AA41="d",$B$5+1,1+SUMPRODUCT(($E$9:$E$153=$E41)*($Z$9:$Z$153&gt;$Z41)))</f>
        <v>3</v>
      </c>
      <c r="AC41" s="49">
        <f t="shared" ref="AC41:AC73" si="45">IF(OR(F41="IND",$AB41&gt;$B$4),"",Z41)</f>
        <v>821</v>
      </c>
      <c r="AD41">
        <f>COUNTIF($E$9:$E41,$E41)</f>
        <v>2</v>
      </c>
      <c r="AE41" s="35">
        <f>SUMIF($E$9:$E$115,$E41,$AC$9:$AC$115)</f>
        <v>2548</v>
      </c>
      <c r="AF41" s="35">
        <f>IF($AD41&gt;1,0,SUMIF($E$9:$E$115,$E41,$AC$9:$AC$115))</f>
        <v>0</v>
      </c>
      <c r="AG41" s="11">
        <f>IF(Z41=0,"",1+COUNTIFS($C$9:$C$115,$C41,$Z$9:$Z$115,"&gt;"&amp;$Z41))</f>
        <v>5</v>
      </c>
      <c r="AH41" t="str">
        <f t="shared" si="33"/>
        <v>Miffy Treherne- QO- W50</v>
      </c>
      <c r="AI41" s="22">
        <f t="shared" ref="AI41:AI115" si="46">$AC41</f>
        <v>821</v>
      </c>
    </row>
    <row r="42" spans="1:35" ht="14.25" customHeight="1" x14ac:dyDescent="0.25">
      <c r="A42" s="79" t="s">
        <v>182</v>
      </c>
      <c r="B42" t="s">
        <v>99</v>
      </c>
      <c r="C42" s="81" t="str">
        <f t="shared" si="14"/>
        <v>Tiverton Short</v>
      </c>
      <c r="D42" t="s">
        <v>102</v>
      </c>
      <c r="E42" s="81" t="str">
        <f t="shared" si="0"/>
        <v>Andy Rimes Short</v>
      </c>
      <c r="F42" t="s">
        <v>103</v>
      </c>
      <c r="G42">
        <v>51</v>
      </c>
      <c r="H42">
        <v>42</v>
      </c>
      <c r="I42" s="30">
        <f t="shared" si="7"/>
        <v>3.5902777777777777E-2</v>
      </c>
      <c r="J42" s="7">
        <f t="shared" ref="J42:J73" si="47">I42</f>
        <v>3.5902777777777777E-2</v>
      </c>
      <c r="K42" s="7">
        <f t="shared" ref="K42:K73" si="48">IF(I42&gt;0.4,1/60,1)</f>
        <v>1</v>
      </c>
      <c r="L42" s="10">
        <f t="shared" ref="L42:L73" si="49">I42*K42*24*60</f>
        <v>51.699999999999996</v>
      </c>
      <c r="N42" s="6" t="s">
        <v>28</v>
      </c>
      <c r="O42" s="43">
        <v>970</v>
      </c>
      <c r="P42" s="44">
        <v>60</v>
      </c>
      <c r="Q42" s="45">
        <f t="shared" ref="Q42:Q47" si="50">O42-P42</f>
        <v>910</v>
      </c>
      <c r="R42" s="45">
        <f>IF(VLOOKUP($A42,events!$B$4:$C$8,2,0)=$Q42,ROUNDDOWN(50-$L42,0),0)</f>
        <v>0</v>
      </c>
      <c r="S42" s="44">
        <f t="shared" si="43"/>
        <v>0</v>
      </c>
      <c r="T42" s="46">
        <f t="shared" ref="T42:T47" si="51">Q42+S42</f>
        <v>910</v>
      </c>
      <c r="U42" s="47">
        <f>ROUND($T42*1000/_xlfn.AGGREGATE(14,6,$T$9:$T$115/($C$9:$C$115=$C42),1),0)</f>
        <v>948</v>
      </c>
      <c r="V42" s="47">
        <f>1+COUNTIFS($C$9:$C$115,$C42,$U$9:$U$115,"&gt;"&amp;$U42)</f>
        <v>2</v>
      </c>
      <c r="W42" s="45">
        <f t="shared" si="44"/>
        <v>0.82</v>
      </c>
      <c r="X42" s="46">
        <f t="shared" si="20"/>
        <v>1110</v>
      </c>
      <c r="Y42" s="48"/>
      <c r="Z42" s="59">
        <f>ROUND($X42*1000/_xlfn.AGGREGATE(14,6,$X$9:$X$115/($C$9:$C$115=$C42),1),0)+Y42</f>
        <v>925</v>
      </c>
      <c r="AA42" s="48"/>
      <c r="AB42" s="50">
        <f>IF($AA42="d",$B$5+1,1+SUMPRODUCT(($E$9:$E$153=$E42)*($Z$9:$Z$153&gt;$Z42)))</f>
        <v>2</v>
      </c>
      <c r="AC42" s="49">
        <f t="shared" si="45"/>
        <v>925</v>
      </c>
      <c r="AD42">
        <f>COUNTIF($E$9:$E42,$E42)</f>
        <v>2</v>
      </c>
      <c r="AE42" s="35">
        <f>SUMIF($E$9:$E$115,$E42,$AC$9:$AC$115)</f>
        <v>2836</v>
      </c>
      <c r="AF42" s="35">
        <f>IF($AD42&gt;1,0,SUMIF($E$9:$E$115,$E42,$AC$9:$AC$115))</f>
        <v>0</v>
      </c>
      <c r="AG42" s="11">
        <f>IF(Z42=0,"",1+COUNTIFS($C$9:$C$115,$C42,$Z$9:$Z$115,"&gt;"&amp;$Z42))</f>
        <v>2</v>
      </c>
      <c r="AH42" t="str">
        <f t="shared" si="33"/>
        <v>Andy Rimes- QO- M55</v>
      </c>
      <c r="AI42" s="22">
        <f t="shared" si="46"/>
        <v>925</v>
      </c>
    </row>
    <row r="43" spans="1:35" ht="14.25" customHeight="1" x14ac:dyDescent="0.25">
      <c r="A43" s="79" t="s">
        <v>182</v>
      </c>
      <c r="B43" t="s">
        <v>99</v>
      </c>
      <c r="C43" s="81" t="str">
        <f t="shared" si="14"/>
        <v>Tiverton Short</v>
      </c>
      <c r="D43" t="s">
        <v>188</v>
      </c>
      <c r="E43" s="81" t="str">
        <f t="shared" si="0"/>
        <v>Alasdair Shaw Short</v>
      </c>
      <c r="F43" t="s">
        <v>103</v>
      </c>
      <c r="G43">
        <v>49</v>
      </c>
      <c r="H43">
        <v>35</v>
      </c>
      <c r="I43" s="30">
        <f t="shared" si="7"/>
        <v>3.4432870370370371E-2</v>
      </c>
      <c r="J43" s="7">
        <f t="shared" si="47"/>
        <v>3.4432870370370371E-2</v>
      </c>
      <c r="K43" s="7">
        <f t="shared" si="48"/>
        <v>1</v>
      </c>
      <c r="L43" s="10">
        <f t="shared" si="49"/>
        <v>49.583333333333329</v>
      </c>
      <c r="N43" s="6" t="s">
        <v>22</v>
      </c>
      <c r="O43" s="43">
        <f>850+110</f>
        <v>960</v>
      </c>
      <c r="P43" s="44"/>
      <c r="Q43" s="45">
        <f t="shared" si="50"/>
        <v>960</v>
      </c>
      <c r="R43" s="45">
        <f>IF(VLOOKUP($A43,events!$B$4:$C$8,2,0)=$Q43,ROUNDDOWN(50-$L43,0),0)</f>
        <v>0</v>
      </c>
      <c r="S43" s="44">
        <f t="shared" si="43"/>
        <v>0</v>
      </c>
      <c r="T43" s="46">
        <f t="shared" si="51"/>
        <v>960</v>
      </c>
      <c r="U43" s="47">
        <f>ROUND($T43*1000/_xlfn.AGGREGATE(14,6,$T$9:$T$115/($C$9:$C$115=$C43),1),0)</f>
        <v>1000</v>
      </c>
      <c r="V43" s="47">
        <f>1+COUNTIFS($C$9:$C$115,$C43,$U$9:$U$115,"&gt;"&amp;$U43)</f>
        <v>1</v>
      </c>
      <c r="W43" s="45">
        <f t="shared" si="44"/>
        <v>0.93</v>
      </c>
      <c r="X43" s="46">
        <f t="shared" si="20"/>
        <v>1032</v>
      </c>
      <c r="Y43" s="48"/>
      <c r="Z43" s="59">
        <f>ROUND($X43*1000/_xlfn.AGGREGATE(14,6,$X$9:$X$115/($C$9:$C$115=$C43),1),0)+Y43</f>
        <v>860</v>
      </c>
      <c r="AA43" s="48"/>
      <c r="AB43" s="50">
        <f>IF($AA43="d",$B$5+1,1+SUMPRODUCT(($E$9:$E$153=$E43)*($Z$9:$Z$153&gt;$Z43)))</f>
        <v>1</v>
      </c>
      <c r="AC43" s="49">
        <f t="shared" si="45"/>
        <v>860</v>
      </c>
      <c r="AD43">
        <f>COUNTIF($E$9:$E43,$E43)</f>
        <v>2</v>
      </c>
      <c r="AE43" s="35">
        <f>SUMIF($E$9:$E$115,$E43,$AC$9:$AC$115)</f>
        <v>2495</v>
      </c>
      <c r="AF43" s="35">
        <f>IF($AD43&gt;1,0,SUMIF($E$9:$E$115,$E43,$AC$9:$AC$115))</f>
        <v>0</v>
      </c>
      <c r="AG43" s="11">
        <f>IF(Z43=0,"",1+COUNTIFS($C$9:$C$115,$C43,$Z$9:$Z$115,"&gt;"&amp;$Z43))</f>
        <v>3</v>
      </c>
      <c r="AH43" t="str">
        <f t="shared" si="33"/>
        <v>Alasdair Shaw- QO- M40</v>
      </c>
      <c r="AI43" s="22">
        <f t="shared" si="46"/>
        <v>860</v>
      </c>
    </row>
    <row r="44" spans="1:35" ht="14.25" customHeight="1" x14ac:dyDescent="0.25">
      <c r="A44" s="79" t="s">
        <v>182</v>
      </c>
      <c r="B44" t="s">
        <v>99</v>
      </c>
      <c r="C44" s="81" t="str">
        <f t="shared" si="14"/>
        <v>Tiverton Short</v>
      </c>
      <c r="D44" t="s">
        <v>146</v>
      </c>
      <c r="E44" s="81" t="str">
        <f t="shared" si="0"/>
        <v>Ray Toomer Short</v>
      </c>
      <c r="F44" t="s">
        <v>103</v>
      </c>
      <c r="G44">
        <v>49</v>
      </c>
      <c r="H44">
        <v>46</v>
      </c>
      <c r="I44" s="30">
        <f t="shared" si="7"/>
        <v>3.4560185185185187E-2</v>
      </c>
      <c r="J44" s="7">
        <f t="shared" si="47"/>
        <v>3.4560185185185187E-2</v>
      </c>
      <c r="K44" s="7">
        <f t="shared" si="48"/>
        <v>1</v>
      </c>
      <c r="L44" s="10">
        <f t="shared" si="49"/>
        <v>49.766666666666666</v>
      </c>
      <c r="N44" s="6" t="s">
        <v>32</v>
      </c>
      <c r="O44" s="43">
        <v>840</v>
      </c>
      <c r="P44" s="44"/>
      <c r="Q44" s="45">
        <f t="shared" si="50"/>
        <v>840</v>
      </c>
      <c r="R44" s="45">
        <f>IF(VLOOKUP($A44,events!$B$4:$C$8,2,0)=$Q44,ROUNDDOWN(50-$L44,0),0)</f>
        <v>0</v>
      </c>
      <c r="S44" s="44">
        <f t="shared" si="43"/>
        <v>0</v>
      </c>
      <c r="T44" s="46">
        <f t="shared" si="51"/>
        <v>840</v>
      </c>
      <c r="U44" s="47">
        <f>ROUND($T44*1000/_xlfn.AGGREGATE(14,6,$T$9:$T$115/($C$9:$C$115=$C44),1),0)</f>
        <v>875</v>
      </c>
      <c r="V44" s="47">
        <f>1+COUNTIFS($C$9:$C$115,$C44,$U$9:$U$115,"&gt;"&amp;$U44)</f>
        <v>3</v>
      </c>
      <c r="W44" s="45">
        <f t="shared" si="44"/>
        <v>0.7</v>
      </c>
      <c r="X44" s="46">
        <f t="shared" si="20"/>
        <v>1200</v>
      </c>
      <c r="Y44" s="48"/>
      <c r="Z44" s="59">
        <f>ROUND($X44*1000/_xlfn.AGGREGATE(14,6,$X$9:$X$115/($C$9:$C$115=$C44),1),0)+Y44</f>
        <v>1000</v>
      </c>
      <c r="AA44" s="48"/>
      <c r="AB44" s="50">
        <f>IF($AA44="d",$B$5+1,1+SUMPRODUCT(($E$9:$E$153=$E44)*($Z$9:$Z$153&gt;$Z44)))</f>
        <v>1</v>
      </c>
      <c r="AC44" s="49">
        <f t="shared" si="45"/>
        <v>1000</v>
      </c>
      <c r="AD44">
        <f>COUNTIF($E$9:$E44,$E44)</f>
        <v>2</v>
      </c>
      <c r="AE44" s="35">
        <f>SUMIF($E$9:$E$115,$E44,$AC$9:$AC$115)</f>
        <v>3000</v>
      </c>
      <c r="AF44" s="35">
        <f>IF($AD44&gt;1,0,SUMIF($E$9:$E$115,$E44,$AC$9:$AC$115))</f>
        <v>0</v>
      </c>
      <c r="AG44" s="11">
        <f>IF(Z44=0,"",1+COUNTIFS($C$9:$C$115,$C44,$Z$9:$Z$115,"&gt;"&amp;$Z44))</f>
        <v>1</v>
      </c>
      <c r="AH44" t="str">
        <f t="shared" si="33"/>
        <v>Ray Toomer- QO- M65</v>
      </c>
      <c r="AI44" s="22">
        <f t="shared" si="46"/>
        <v>1000</v>
      </c>
    </row>
    <row r="45" spans="1:35" ht="14.25" customHeight="1" x14ac:dyDescent="0.25">
      <c r="A45" s="79" t="s">
        <v>182</v>
      </c>
      <c r="B45" t="s">
        <v>99</v>
      </c>
      <c r="C45" s="81" t="str">
        <f t="shared" si="14"/>
        <v>Tiverton Short</v>
      </c>
      <c r="D45" t="s">
        <v>189</v>
      </c>
      <c r="E45" s="81" t="str">
        <f t="shared" si="0"/>
        <v>John Carter Short</v>
      </c>
      <c r="F45" t="s">
        <v>103</v>
      </c>
      <c r="G45">
        <v>50</v>
      </c>
      <c r="H45">
        <v>45</v>
      </c>
      <c r="I45" s="30">
        <f t="shared" si="7"/>
        <v>3.5243055555555555E-2</v>
      </c>
      <c r="J45" s="7">
        <f t="shared" si="47"/>
        <v>3.5243055555555555E-2</v>
      </c>
      <c r="K45" s="7">
        <f t="shared" si="48"/>
        <v>1</v>
      </c>
      <c r="L45" s="10">
        <f t="shared" si="49"/>
        <v>50.75</v>
      </c>
      <c r="M45" s="6" t="s">
        <v>34</v>
      </c>
      <c r="N45" s="6" t="s">
        <v>32</v>
      </c>
      <c r="O45" s="43">
        <v>590</v>
      </c>
      <c r="P45" s="44">
        <v>30</v>
      </c>
      <c r="Q45" s="45">
        <f t="shared" si="50"/>
        <v>560</v>
      </c>
      <c r="R45" s="45">
        <f>IF(VLOOKUP($A45,events!$B$4:$C$8,2,0)=$Q45,ROUNDDOWN(50-$L45,0),0)</f>
        <v>0</v>
      </c>
      <c r="S45" s="44">
        <f t="shared" si="43"/>
        <v>0</v>
      </c>
      <c r="T45" s="46">
        <f t="shared" si="51"/>
        <v>560</v>
      </c>
      <c r="U45" s="47">
        <f>ROUND($T45*1000/_xlfn.AGGREGATE(14,6,$T$9:$T$115/($C$9:$C$115=$C45),1),0)</f>
        <v>583</v>
      </c>
      <c r="V45" s="47">
        <f>1+COUNTIFS($C$9:$C$115,$C45,$U$9:$U$115,"&gt;"&amp;$U45)</f>
        <v>4</v>
      </c>
      <c r="W45" s="45">
        <f t="shared" si="44"/>
        <v>0.7</v>
      </c>
      <c r="X45" s="46">
        <f t="shared" si="20"/>
        <v>800</v>
      </c>
      <c r="Y45" s="48"/>
      <c r="Z45" s="59">
        <f>ROUND($X45*1000/_xlfn.AGGREGATE(14,6,$X$9:$X$115/($C$9:$C$115=$C45),1),0)+Y45</f>
        <v>667</v>
      </c>
      <c r="AA45" s="48"/>
      <c r="AB45" s="50">
        <f>IF($AA45="d",$B$5+1,1+SUMPRODUCT(($E$9:$E$153=$E45)*($Z$9:$Z$153&gt;$Z45)))</f>
        <v>2</v>
      </c>
      <c r="AC45" s="49">
        <f t="shared" si="45"/>
        <v>667</v>
      </c>
      <c r="AD45">
        <f>COUNTIF($E$9:$E45,$E45)</f>
        <v>1</v>
      </c>
      <c r="AE45" s="35">
        <f>SUMIF($E$9:$E$115,$E45,$AC$9:$AC$115)</f>
        <v>1520</v>
      </c>
      <c r="AF45" s="35">
        <f>IF($AD45&gt;1,0,SUMIF($E$9:$E$115,$E45,$AC$9:$AC$115))</f>
        <v>1520</v>
      </c>
      <c r="AG45" s="11">
        <f>IF(Z45=0,"",1+COUNTIFS($C$9:$C$115,$C45,$Z$9:$Z$115,"&gt;"&amp;$Z45))</f>
        <v>4</v>
      </c>
      <c r="AH45" t="str">
        <f t="shared" si="33"/>
        <v>John Carter- QO- M70</v>
      </c>
      <c r="AI45" s="22">
        <f t="shared" si="46"/>
        <v>667</v>
      </c>
    </row>
    <row r="46" spans="1:35" ht="14.25" customHeight="1" x14ac:dyDescent="0.25">
      <c r="A46" s="79" t="s">
        <v>182</v>
      </c>
      <c r="B46" t="s">
        <v>99</v>
      </c>
      <c r="C46" s="81" t="str">
        <f t="shared" si="14"/>
        <v>Tiverton Short</v>
      </c>
      <c r="D46" t="s">
        <v>190</v>
      </c>
      <c r="E46" s="81" t="str">
        <f t="shared" si="0"/>
        <v>Roger Craddock Short</v>
      </c>
      <c r="F46" t="s">
        <v>103</v>
      </c>
      <c r="G46">
        <v>54</v>
      </c>
      <c r="H46">
        <v>6</v>
      </c>
      <c r="I46" s="30">
        <f t="shared" si="7"/>
        <v>3.7569444444444447E-2</v>
      </c>
      <c r="J46" s="7">
        <f t="shared" si="47"/>
        <v>3.7569444444444447E-2</v>
      </c>
      <c r="K46" s="7">
        <f t="shared" si="48"/>
        <v>1</v>
      </c>
      <c r="L46" s="10">
        <f t="shared" si="49"/>
        <v>54.1</v>
      </c>
      <c r="M46" s="6" t="s">
        <v>39</v>
      </c>
      <c r="N46" s="6" t="s">
        <v>36</v>
      </c>
      <c r="O46" s="43">
        <v>610</v>
      </c>
      <c r="P46" s="44">
        <v>150</v>
      </c>
      <c r="Q46" s="45">
        <f t="shared" si="50"/>
        <v>460</v>
      </c>
      <c r="R46" s="45">
        <f>IF(VLOOKUP($A46,events!$B$4:$C$8,2,0)=$Q46,ROUNDDOWN(50-$L46,0),0)</f>
        <v>0</v>
      </c>
      <c r="S46" s="44">
        <f t="shared" si="43"/>
        <v>0</v>
      </c>
      <c r="T46" s="46">
        <f t="shared" si="51"/>
        <v>460</v>
      </c>
      <c r="U46" s="47">
        <f>ROUND($T46*1000/_xlfn.AGGREGATE(14,6,$T$9:$T$115/($C$9:$C$115=$C46),1),0)</f>
        <v>479</v>
      </c>
      <c r="V46" s="47">
        <f>1+COUNTIFS($C$9:$C$115,$C46,$U$9:$U$115,"&gt;"&amp;$U46)</f>
        <v>5</v>
      </c>
      <c r="W46" s="45">
        <f t="shared" si="44"/>
        <v>0.6</v>
      </c>
      <c r="X46" s="46">
        <f t="shared" si="20"/>
        <v>767</v>
      </c>
      <c r="Y46" s="48"/>
      <c r="Z46" s="59">
        <f>ROUND($X46*1000/_xlfn.AGGREGATE(14,6,$X$9:$X$115/($C$9:$C$115=$C46),1),0)+Y46</f>
        <v>639</v>
      </c>
      <c r="AA46" s="48"/>
      <c r="AB46" s="50">
        <f>IF($AA46="d",$B$5+1,1+SUMPRODUCT(($E$9:$E$153=$E46)*($Z$9:$Z$153&gt;$Z46)))</f>
        <v>3</v>
      </c>
      <c r="AC46" s="49">
        <f t="shared" si="45"/>
        <v>639</v>
      </c>
      <c r="AD46">
        <f>COUNTIF($E$9:$E46,$E46)</f>
        <v>1</v>
      </c>
      <c r="AE46" s="35">
        <f>SUMIF($E$9:$E$115,$E46,$AC$9:$AC$115)</f>
        <v>2260</v>
      </c>
      <c r="AF46" s="35">
        <f>IF($AD46&gt;1,0,SUMIF($E$9:$E$115,$E46,$AC$9:$AC$115))</f>
        <v>2260</v>
      </c>
      <c r="AG46" s="11">
        <f>IF(Z46=0,"",1+COUNTIFS($C$9:$C$115,$C46,$Z$9:$Z$115,"&gt;"&amp;$Z46))</f>
        <v>5</v>
      </c>
      <c r="AH46" t="str">
        <f t="shared" si="33"/>
        <v>Roger Craddock- QO- M80</v>
      </c>
      <c r="AI46" s="22">
        <f t="shared" si="46"/>
        <v>639</v>
      </c>
    </row>
    <row r="47" spans="1:35" ht="14.25" customHeight="1" x14ac:dyDescent="0.25">
      <c r="A47" s="79" t="s">
        <v>182</v>
      </c>
      <c r="B47" t="s">
        <v>99</v>
      </c>
      <c r="C47" s="81" t="str">
        <f t="shared" si="14"/>
        <v>Tiverton Short</v>
      </c>
      <c r="D47" t="s">
        <v>160</v>
      </c>
      <c r="E47" s="81" t="str">
        <f t="shared" si="0"/>
        <v>Sarah Hasler Short</v>
      </c>
      <c r="F47" t="s">
        <v>103</v>
      </c>
      <c r="G47">
        <v>44</v>
      </c>
      <c r="H47">
        <v>12</v>
      </c>
      <c r="I47" s="30">
        <f t="shared" si="7"/>
        <v>3.0694444444444444E-2</v>
      </c>
      <c r="J47" s="7">
        <f t="shared" si="47"/>
        <v>3.0694444444444444E-2</v>
      </c>
      <c r="K47" s="7">
        <f t="shared" si="48"/>
        <v>1</v>
      </c>
      <c r="L47" s="10">
        <f t="shared" si="49"/>
        <v>44.2</v>
      </c>
      <c r="N47" s="6" t="s">
        <v>29</v>
      </c>
      <c r="O47" s="43">
        <v>440</v>
      </c>
      <c r="P47" s="44">
        <v>0</v>
      </c>
      <c r="Q47" s="45">
        <f t="shared" si="50"/>
        <v>440</v>
      </c>
      <c r="R47" s="45">
        <f>IF(VLOOKUP($A47,events!$B$4:$C$8,2,0)=$Q47,ROUNDDOWN(50-$L47,0),0)</f>
        <v>0</v>
      </c>
      <c r="S47" s="44">
        <f t="shared" si="43"/>
        <v>0</v>
      </c>
      <c r="T47" s="46">
        <f t="shared" si="51"/>
        <v>440</v>
      </c>
      <c r="U47" s="47">
        <f>ROUND($T47*1000/_xlfn.AGGREGATE(14,6,$T$9:$T$115/($C$9:$C$115=$C47),1),0)</f>
        <v>458</v>
      </c>
      <c r="V47" s="47">
        <f>1+COUNTIFS($C$9:$C$115,$C47,$U$9:$U$115,"&gt;"&amp;$U47)</f>
        <v>6</v>
      </c>
      <c r="W47" s="45">
        <f t="shared" si="44"/>
        <v>0.7</v>
      </c>
      <c r="X47" s="46">
        <f t="shared" si="20"/>
        <v>629</v>
      </c>
      <c r="Y47" s="48"/>
      <c r="Z47" s="59">
        <f>ROUND($X47*1000/_xlfn.AGGREGATE(14,6,$X$9:$X$115/($C$9:$C$115=$C47),1),0)+Y47</f>
        <v>524</v>
      </c>
      <c r="AA47" s="48"/>
      <c r="AB47" s="50">
        <f>IF($AA47="d",$B$5+1,1+SUMPRODUCT(($E$9:$E$153=$E47)*($Z$9:$Z$153&gt;$Z47)))</f>
        <v>3</v>
      </c>
      <c r="AC47" s="49">
        <f t="shared" si="45"/>
        <v>524</v>
      </c>
      <c r="AD47">
        <f>COUNTIF($E$9:$E47,$E47)</f>
        <v>2</v>
      </c>
      <c r="AE47" s="35">
        <f>SUMIF($E$9:$E$115,$E47,$AC$9:$AC$115)</f>
        <v>1850</v>
      </c>
      <c r="AF47" s="35">
        <f>IF($AD47&gt;1,0,SUMIF($E$9:$E$115,$E47,$AC$9:$AC$115))</f>
        <v>0</v>
      </c>
      <c r="AG47" s="11">
        <f>IF(Z47=0,"",1+COUNTIFS($C$9:$C$115,$C47,$Z$9:$Z$115,"&gt;"&amp;$Z47))</f>
        <v>6</v>
      </c>
      <c r="AH47" t="str">
        <f t="shared" si="33"/>
        <v>Sarah Hasler- QO- W55</v>
      </c>
      <c r="AI47" s="22">
        <f t="shared" si="46"/>
        <v>524</v>
      </c>
    </row>
    <row r="48" spans="1:35" ht="14.25" customHeight="1" x14ac:dyDescent="0.25">
      <c r="A48" s="79" t="s">
        <v>182</v>
      </c>
      <c r="B48" t="s">
        <v>99</v>
      </c>
      <c r="C48" s="81" t="str">
        <f>CONCATENATE($A48," ",$B48)</f>
        <v>Tiverton Short</v>
      </c>
      <c r="D48" t="s">
        <v>167</v>
      </c>
      <c r="E48" s="81" t="str">
        <f>CONCATENATE($D48," ",$B48)</f>
        <v>Victoria Fieldhouse Short</v>
      </c>
      <c r="F48" t="s">
        <v>169</v>
      </c>
      <c r="G48">
        <v>60</v>
      </c>
      <c r="H48">
        <v>48</v>
      </c>
      <c r="I48" s="84">
        <f t="shared" si="7"/>
        <v>4.2222222222222217E-2</v>
      </c>
      <c r="J48" s="7">
        <f t="shared" si="47"/>
        <v>4.2222222222222217E-2</v>
      </c>
      <c r="K48" s="7">
        <f t="shared" si="48"/>
        <v>1</v>
      </c>
      <c r="L48" s="10">
        <f t="shared" si="49"/>
        <v>60.79999999999999</v>
      </c>
      <c r="N48" s="6" t="s">
        <v>29</v>
      </c>
      <c r="O48" s="43">
        <v>620</v>
      </c>
      <c r="P48" s="44">
        <v>330</v>
      </c>
      <c r="Q48" s="45">
        <f>O48-P48</f>
        <v>290</v>
      </c>
      <c r="R48" s="45">
        <f>IF(VLOOKUP($A48,events!$B$4:$C$8,2,0)=$Q48,ROUNDDOWN(50-$L48,0),0)</f>
        <v>0</v>
      </c>
      <c r="S48" s="44">
        <f t="shared" si="43"/>
        <v>0</v>
      </c>
      <c r="T48" s="46">
        <f>Q48+S48</f>
        <v>290</v>
      </c>
      <c r="U48" s="47">
        <f>ROUND($T48*1000/_xlfn.AGGREGATE(14,6,$T$9:$T$115/($C$9:$C$115=$C48),1),0)</f>
        <v>302</v>
      </c>
      <c r="V48" s="47">
        <f>1+COUNTIFS($C$9:$C$115,$C48,$U$9:$U$115,"&gt;"&amp;$U48)</f>
        <v>7</v>
      </c>
      <c r="W48" s="45">
        <f t="shared" si="44"/>
        <v>0.7</v>
      </c>
      <c r="X48" s="46">
        <f>ROUND(T48/W48,0)</f>
        <v>414</v>
      </c>
      <c r="Y48" s="48"/>
      <c r="Z48" s="59">
        <f>ROUND($X48*1000/_xlfn.AGGREGATE(14,6,$X$9:$X$115/($C$9:$C$115=$C48),1),0)+Y48</f>
        <v>345</v>
      </c>
      <c r="AA48" s="48"/>
      <c r="AB48" s="50">
        <f>IF($AA48="d",$B$5+1,1+SUMPRODUCT(($E$9:$E$153=$E48)*($Z$9:$Z$153&gt;$Z48)))</f>
        <v>1</v>
      </c>
      <c r="AC48" s="49" t="str">
        <f t="shared" si="45"/>
        <v/>
      </c>
      <c r="AD48">
        <f>COUNTIF($E$9:$E115,$E48)</f>
        <v>1</v>
      </c>
      <c r="AE48" s="35">
        <f>SUMIF($E$9:$E$115,$E48,$AC$9:$AC$115)</f>
        <v>0</v>
      </c>
      <c r="AF48" s="35">
        <f>IF($AD48&gt;1,0,SUMIF($E$9:$E$115,$E48,$AC$9:$AC$115))</f>
        <v>0</v>
      </c>
      <c r="AG48" s="11">
        <f>IF(Z48=0,"",1+COUNTIFS($C$9:$C$115,$C48,$Z$9:$Z$115,"&gt;"&amp;$Z48))</f>
        <v>7</v>
      </c>
      <c r="AH48" t="str">
        <f t="shared" si="33"/>
        <v>Victoria Fieldhouse- Ind- W55</v>
      </c>
      <c r="AI48" s="22" t="str">
        <f t="shared" si="46"/>
        <v/>
      </c>
    </row>
    <row r="49" spans="1:35" ht="14.25" customHeight="1" x14ac:dyDescent="0.25">
      <c r="A49" s="79" t="s">
        <v>195</v>
      </c>
      <c r="B49" t="s">
        <v>3</v>
      </c>
      <c r="C49" s="81" t="str">
        <f t="shared" si="14"/>
        <v>Wellington Long</v>
      </c>
      <c r="D49" t="s">
        <v>162</v>
      </c>
      <c r="E49" s="81" t="str">
        <f t="shared" si="0"/>
        <v>Ollie Rant Long</v>
      </c>
      <c r="F49" t="s">
        <v>103</v>
      </c>
      <c r="G49">
        <v>53</v>
      </c>
      <c r="H49">
        <v>36</v>
      </c>
      <c r="I49" s="30">
        <f t="shared" si="7"/>
        <v>3.7222222222222219E-2</v>
      </c>
      <c r="J49" s="7">
        <f t="shared" si="47"/>
        <v>3.7222222222222219E-2</v>
      </c>
      <c r="K49" s="7">
        <f t="shared" si="48"/>
        <v>1</v>
      </c>
      <c r="L49" s="10">
        <f t="shared" si="49"/>
        <v>53.6</v>
      </c>
      <c r="N49" s="6" t="s">
        <v>18</v>
      </c>
      <c r="O49" s="43">
        <v>1120</v>
      </c>
      <c r="P49" s="44">
        <v>120</v>
      </c>
      <c r="Q49" s="45">
        <f t="shared" ref="Q49:Q73" si="52">O49-P49</f>
        <v>1000</v>
      </c>
      <c r="R49" s="45">
        <f>IF(VLOOKUP($A49,events!$B$4:$C$8,2,0)=$Q49,ROUNDDOWN(50-$L49,0),0)</f>
        <v>0</v>
      </c>
      <c r="S49" s="44">
        <f t="shared" si="43"/>
        <v>0</v>
      </c>
      <c r="T49" s="46">
        <f t="shared" ref="T49:T73" si="53">Q49+S49</f>
        <v>1000</v>
      </c>
      <c r="U49" s="47">
        <f>ROUND($T49*1000/_xlfn.AGGREGATE(14,6,$T$9:$T$115/($C$9:$C$115=$C49),1),0)</f>
        <v>1000</v>
      </c>
      <c r="V49" s="47">
        <f>1+COUNTIFS($C$9:$C$115,$C49,$U$9:$U$115,"&gt;"&amp;$U49)</f>
        <v>1</v>
      </c>
      <c r="W49" s="45">
        <f t="shared" si="44"/>
        <v>1</v>
      </c>
      <c r="X49" s="46">
        <f t="shared" ref="X49:X73" si="54">ROUND(T49/W49,0)</f>
        <v>1000</v>
      </c>
      <c r="Y49" s="48"/>
      <c r="Z49" s="59">
        <f>ROUND($X49*1000/_xlfn.AGGREGATE(14,6,$X$9:$X$115/($C$9:$C$115=$C49),1),0)+Y49</f>
        <v>977</v>
      </c>
      <c r="AA49" s="48"/>
      <c r="AB49" s="50">
        <f>IF($AA49="d",$B$5+1,1+SUMPRODUCT(($E$9:$E$153=$E49)*($Z$9:$Z$153&gt;$Z49)))</f>
        <v>1</v>
      </c>
      <c r="AC49" s="49">
        <f t="shared" si="45"/>
        <v>977</v>
      </c>
      <c r="AD49">
        <f>COUNTIF($E$9:$E49,$E49)</f>
        <v>3</v>
      </c>
      <c r="AE49" s="35">
        <f>SUMIF($E$9:$E$115,$E49,$AC$9:$AC$115)</f>
        <v>2858</v>
      </c>
      <c r="AF49" s="35">
        <f>IF($AD49&gt;1,0,SUMIF($E$9:$E$115,$E49,$AC$9:$AC$115))</f>
        <v>0</v>
      </c>
      <c r="AG49" s="11">
        <f>IF(Z49=0,"",1+COUNTIFS($C$9:$C$115,$C49,$Z$9:$Z$115,"&gt;"&amp;$Z49))</f>
        <v>2</v>
      </c>
      <c r="AH49" t="str">
        <f t="shared" si="33"/>
        <v>Ollie Rant- QO- M21</v>
      </c>
      <c r="AI49" s="22">
        <f t="shared" si="46"/>
        <v>977</v>
      </c>
    </row>
    <row r="50" spans="1:35" ht="14.25" customHeight="1" x14ac:dyDescent="0.25">
      <c r="A50" s="79" t="s">
        <v>195</v>
      </c>
      <c r="B50" t="s">
        <v>3</v>
      </c>
      <c r="C50" s="81" t="str">
        <f t="shared" si="14"/>
        <v>Wellington Long</v>
      </c>
      <c r="D50" t="s">
        <v>108</v>
      </c>
      <c r="E50" s="81" t="str">
        <f t="shared" si="0"/>
        <v>Robin Fieldhouse Long</v>
      </c>
      <c r="F50" t="s">
        <v>103</v>
      </c>
      <c r="G50">
        <v>49</v>
      </c>
      <c r="H50">
        <v>18</v>
      </c>
      <c r="I50" s="30">
        <f t="shared" si="7"/>
        <v>3.4236111111111113E-2</v>
      </c>
      <c r="J50" s="7">
        <f t="shared" si="47"/>
        <v>3.4236111111111113E-2</v>
      </c>
      <c r="K50" s="7">
        <f t="shared" si="48"/>
        <v>1</v>
      </c>
      <c r="L50" s="10">
        <f t="shared" si="49"/>
        <v>49.300000000000004</v>
      </c>
      <c r="N50" s="6" t="s">
        <v>18</v>
      </c>
      <c r="O50" s="43">
        <v>880</v>
      </c>
      <c r="P50" s="44">
        <v>0</v>
      </c>
      <c r="Q50" s="45">
        <f t="shared" si="52"/>
        <v>880</v>
      </c>
      <c r="R50" s="45">
        <f>IF(VLOOKUP($A50,events!$B$4:$C$8,2,0)=$Q50,ROUNDDOWN(50-$L50,0),0)</f>
        <v>0</v>
      </c>
      <c r="S50" s="44">
        <f t="shared" si="43"/>
        <v>0</v>
      </c>
      <c r="T50" s="46">
        <f t="shared" si="53"/>
        <v>880</v>
      </c>
      <c r="U50" s="47">
        <f>ROUND($T50*1000/_xlfn.AGGREGATE(14,6,$T$9:$T$115/($C$9:$C$115=$C50),1),0)</f>
        <v>880</v>
      </c>
      <c r="V50" s="47">
        <f>1+COUNTIFS($C$9:$C$115,$C50,$U$9:$U$115,"&gt;"&amp;$U50)</f>
        <v>2</v>
      </c>
      <c r="W50" s="45">
        <f t="shared" si="44"/>
        <v>1</v>
      </c>
      <c r="X50" s="46">
        <f t="shared" si="54"/>
        <v>880</v>
      </c>
      <c r="Y50" s="48"/>
      <c r="Z50" s="59">
        <f>ROUND($X50*1000/_xlfn.AGGREGATE(14,6,$X$9:$X$115/($C$9:$C$115=$C50),1),0)+Y50</f>
        <v>859</v>
      </c>
      <c r="AA50" s="48"/>
      <c r="AB50" s="50">
        <f>IF($AA50="d",$B$5+1,1+SUMPRODUCT(($E$9:$E$153=$E50)*($Z$9:$Z$153&gt;$Z50)))</f>
        <v>2</v>
      </c>
      <c r="AC50" s="49">
        <f t="shared" si="45"/>
        <v>859</v>
      </c>
      <c r="AD50">
        <f>COUNTIF($E$9:$E50,$E50)</f>
        <v>3</v>
      </c>
      <c r="AE50" s="35">
        <f>SUMIF($E$9:$E$115,$E50,$AC$9:$AC$115)</f>
        <v>2600</v>
      </c>
      <c r="AF50" s="35">
        <f>IF($AD50&gt;1,0,SUMIF($E$9:$E$115,$E50,$AC$9:$AC$115))</f>
        <v>0</v>
      </c>
      <c r="AG50" s="11">
        <f>IF(Z50=0,"",1+COUNTIFS($C$9:$C$115,$C50,$Z$9:$Z$115,"&gt;"&amp;$Z50))</f>
        <v>7</v>
      </c>
      <c r="AH50" t="str">
        <f t="shared" si="33"/>
        <v>Robin Fieldhouse- QO- M21</v>
      </c>
      <c r="AI50" s="22">
        <f t="shared" si="46"/>
        <v>859</v>
      </c>
    </row>
    <row r="51" spans="1:35" ht="14.25" customHeight="1" x14ac:dyDescent="0.25">
      <c r="A51" s="79" t="s">
        <v>195</v>
      </c>
      <c r="B51" t="s">
        <v>3</v>
      </c>
      <c r="C51" s="81" t="str">
        <f t="shared" si="14"/>
        <v>Wellington Long</v>
      </c>
      <c r="D51" t="s">
        <v>196</v>
      </c>
      <c r="E51" s="81" t="str">
        <f t="shared" si="0"/>
        <v>Richard Sansbury Long</v>
      </c>
      <c r="F51" t="s">
        <v>103</v>
      </c>
      <c r="G51">
        <v>49</v>
      </c>
      <c r="H51">
        <v>12</v>
      </c>
      <c r="I51" s="30">
        <f t="shared" si="7"/>
        <v>3.4166666666666672E-2</v>
      </c>
      <c r="J51" s="7">
        <f t="shared" si="47"/>
        <v>3.4166666666666672E-2</v>
      </c>
      <c r="K51" s="7">
        <f t="shared" si="48"/>
        <v>1</v>
      </c>
      <c r="L51" s="10">
        <f t="shared" si="49"/>
        <v>49.2</v>
      </c>
      <c r="N51" s="6" t="s">
        <v>26</v>
      </c>
      <c r="O51" s="43">
        <v>870</v>
      </c>
      <c r="P51" s="44">
        <v>0</v>
      </c>
      <c r="Q51" s="45">
        <f t="shared" si="52"/>
        <v>870</v>
      </c>
      <c r="R51" s="45">
        <f>IF(VLOOKUP($A51,events!$B$4:$C$8,2,0)=$Q51,ROUNDDOWN(50-$L51,0),0)</f>
        <v>0</v>
      </c>
      <c r="S51" s="44">
        <f t="shared" si="43"/>
        <v>0</v>
      </c>
      <c r="T51" s="46">
        <f t="shared" si="53"/>
        <v>870</v>
      </c>
      <c r="U51" s="47">
        <f>ROUND($T51*1000/_xlfn.AGGREGATE(14,6,$T$9:$T$115/($C$9:$C$115=$C51),1),0)</f>
        <v>870</v>
      </c>
      <c r="V51" s="47">
        <f>1+COUNTIFS($C$9:$C$115,$C51,$U$9:$U$115,"&gt;"&amp;$U51)</f>
        <v>3</v>
      </c>
      <c r="W51" s="45">
        <f t="shared" si="44"/>
        <v>0.85</v>
      </c>
      <c r="X51" s="46">
        <f t="shared" si="54"/>
        <v>1024</v>
      </c>
      <c r="Y51" s="48"/>
      <c r="Z51" s="59">
        <f>ROUND($X51*1000/_xlfn.AGGREGATE(14,6,$X$9:$X$115/($C$9:$C$115=$C51),1),0)+Y51</f>
        <v>1000</v>
      </c>
      <c r="AA51" s="48"/>
      <c r="AB51" s="50">
        <f>IF($AA51="d",$B$5+1,1+SUMPRODUCT(($E$9:$E$153=$E51)*($Z$9:$Z$153&gt;$Z51)))</f>
        <v>1</v>
      </c>
      <c r="AC51" s="49">
        <f t="shared" si="45"/>
        <v>1000</v>
      </c>
      <c r="AD51">
        <f>COUNTIF($E$9:$E51,$E51)</f>
        <v>1</v>
      </c>
      <c r="AE51" s="35">
        <f>SUMIF($E$9:$E$115,$E51,$AC$9:$AC$115)</f>
        <v>1822</v>
      </c>
      <c r="AF51" s="35">
        <f>IF($AD51&gt;1,0,SUMIF($E$9:$E$115,$E51,$AC$9:$AC$115))</f>
        <v>1822</v>
      </c>
      <c r="AG51" s="11">
        <f>IF(Z51=0,"",1+COUNTIFS($C$9:$C$115,$C51,$Z$9:$Z$115,"&gt;"&amp;$Z51))</f>
        <v>1</v>
      </c>
      <c r="AH51" t="str">
        <f t="shared" si="33"/>
        <v>Richard Sansbury- QO- M50</v>
      </c>
      <c r="AI51" s="22">
        <f t="shared" si="46"/>
        <v>1000</v>
      </c>
    </row>
    <row r="52" spans="1:35" ht="14.25" customHeight="1" x14ac:dyDescent="0.25">
      <c r="A52" s="79" t="s">
        <v>195</v>
      </c>
      <c r="B52" t="s">
        <v>3</v>
      </c>
      <c r="C52" s="81" t="str">
        <f t="shared" si="14"/>
        <v>Wellington Long</v>
      </c>
      <c r="D52" t="s">
        <v>163</v>
      </c>
      <c r="E52" s="81" t="str">
        <f t="shared" si="0"/>
        <v>Adam 'Tango' Holland Long</v>
      </c>
      <c r="F52" t="s">
        <v>169</v>
      </c>
      <c r="G52">
        <v>53</v>
      </c>
      <c r="H52">
        <v>50</v>
      </c>
      <c r="I52" s="30">
        <f t="shared" si="7"/>
        <v>3.7384259259259263E-2</v>
      </c>
      <c r="J52" s="7">
        <f t="shared" si="47"/>
        <v>3.7384259259259263E-2</v>
      </c>
      <c r="K52" s="7">
        <f t="shared" si="48"/>
        <v>1</v>
      </c>
      <c r="L52" s="10">
        <f t="shared" si="49"/>
        <v>53.833333333333343</v>
      </c>
      <c r="N52" s="6" t="s">
        <v>117</v>
      </c>
      <c r="O52" s="43">
        <v>990</v>
      </c>
      <c r="P52" s="44">
        <v>120</v>
      </c>
      <c r="Q52" s="45">
        <f t="shared" si="52"/>
        <v>870</v>
      </c>
      <c r="R52" s="45">
        <f>IF(VLOOKUP($A52,events!$B$4:$C$8,2,0)=$Q52,ROUNDDOWN(50-$L52,0),0)</f>
        <v>0</v>
      </c>
      <c r="S52" s="44">
        <f t="shared" si="43"/>
        <v>0</v>
      </c>
      <c r="T52" s="46">
        <f t="shared" si="53"/>
        <v>870</v>
      </c>
      <c r="U52" s="47">
        <f>ROUND($T52*1000/_xlfn.AGGREGATE(14,6,$T$9:$T$115/($C$9:$C$115=$C52),1),0)</f>
        <v>870</v>
      </c>
      <c r="V52" s="47">
        <f>1+COUNTIFS($C$9:$C$115,$C52,$U$9:$U$115,"&gt;"&amp;$U52)</f>
        <v>3</v>
      </c>
      <c r="W52" s="45">
        <f t="shared" si="44"/>
        <v>0.99</v>
      </c>
      <c r="X52" s="46">
        <f t="shared" si="54"/>
        <v>879</v>
      </c>
      <c r="Y52" s="48"/>
      <c r="Z52" s="59">
        <f>ROUND($X52*1000/_xlfn.AGGREGATE(14,6,$X$9:$X$115/($C$9:$C$115=$C52),1),0)+Y52</f>
        <v>858</v>
      </c>
      <c r="AA52" s="48"/>
      <c r="AB52" s="50">
        <f>IF($AA52="d",$B$5+1,1+SUMPRODUCT(($E$9:$E$153=$E52)*($Z$9:$Z$153&gt;$Z52)))</f>
        <v>1</v>
      </c>
      <c r="AC52" s="49" t="str">
        <f t="shared" si="45"/>
        <v/>
      </c>
      <c r="AD52">
        <f>COUNTIF($E$9:$E52,$E52)</f>
        <v>2</v>
      </c>
      <c r="AE52" s="35">
        <f>SUMIF($E$9:$E$115,$E52,$AC$9:$AC$115)</f>
        <v>0</v>
      </c>
      <c r="AF52" s="35">
        <f>IF($AD52&gt;1,0,SUMIF($E$9:$E$115,$E52,$AC$9:$AC$115))</f>
        <v>0</v>
      </c>
      <c r="AG52" s="11">
        <f>IF(Z52=0,"",1+COUNTIFS($C$9:$C$115,$C52,$Z$9:$Z$115,"&gt;"&amp;$Z52))</f>
        <v>8</v>
      </c>
      <c r="AH52" t="str">
        <f t="shared" si="33"/>
        <v>Adam 'Tango' Holland- Ind- M30</v>
      </c>
      <c r="AI52" s="22" t="str">
        <f t="shared" si="46"/>
        <v/>
      </c>
    </row>
    <row r="53" spans="1:35" ht="14.25" customHeight="1" x14ac:dyDescent="0.25">
      <c r="A53" s="79" t="s">
        <v>195</v>
      </c>
      <c r="B53" t="s">
        <v>3</v>
      </c>
      <c r="C53" s="81" t="str">
        <f t="shared" si="14"/>
        <v>Wellington Long</v>
      </c>
      <c r="D53" t="s">
        <v>164</v>
      </c>
      <c r="E53" s="81" t="str">
        <f t="shared" si="0"/>
        <v>Andy Bussell Long</v>
      </c>
      <c r="F53" t="s">
        <v>103</v>
      </c>
      <c r="G53">
        <v>50</v>
      </c>
      <c r="H53">
        <v>28</v>
      </c>
      <c r="I53" s="30">
        <f t="shared" si="7"/>
        <v>3.5046296296296298E-2</v>
      </c>
      <c r="J53" s="7">
        <f t="shared" si="47"/>
        <v>3.5046296296296298E-2</v>
      </c>
      <c r="K53" s="7">
        <f t="shared" si="48"/>
        <v>1</v>
      </c>
      <c r="L53" s="10">
        <f t="shared" si="49"/>
        <v>50.466666666666669</v>
      </c>
      <c r="N53" s="6" t="s">
        <v>24</v>
      </c>
      <c r="O53" s="43">
        <v>840</v>
      </c>
      <c r="P53" s="44">
        <v>30</v>
      </c>
      <c r="Q53" s="45">
        <f t="shared" si="52"/>
        <v>810</v>
      </c>
      <c r="R53" s="45">
        <f>IF(VLOOKUP($A53,events!$B$4:$C$8,2,0)=$Q53,ROUNDDOWN(50-$L53,0),0)</f>
        <v>0</v>
      </c>
      <c r="S53" s="44">
        <f t="shared" si="43"/>
        <v>0</v>
      </c>
      <c r="T53" s="46">
        <f t="shared" si="53"/>
        <v>810</v>
      </c>
      <c r="U53" s="47">
        <f>ROUND($T53*1000/_xlfn.AGGREGATE(14,6,$T$9:$T$115/($C$9:$C$115=$C53),1),0)</f>
        <v>810</v>
      </c>
      <c r="V53" s="47">
        <f>1+COUNTIFS($C$9:$C$115,$C53,$U$9:$U$115,"&gt;"&amp;$U53)</f>
        <v>5</v>
      </c>
      <c r="W53" s="45">
        <f t="shared" si="44"/>
        <v>0.89</v>
      </c>
      <c r="X53" s="46">
        <f t="shared" si="54"/>
        <v>910</v>
      </c>
      <c r="Y53" s="48"/>
      <c r="Z53" s="59">
        <f>ROUND($X53*1000/_xlfn.AGGREGATE(14,6,$X$9:$X$115/($C$9:$C$115=$C53),1),0)+Y53</f>
        <v>889</v>
      </c>
      <c r="AA53" s="48"/>
      <c r="AB53" s="50">
        <f>IF($AA53="d",$B$5+1,1+SUMPRODUCT(($E$9:$E$153=$E53)*($Z$9:$Z$153&gt;$Z53)))</f>
        <v>1</v>
      </c>
      <c r="AC53" s="49">
        <f t="shared" si="45"/>
        <v>889</v>
      </c>
      <c r="AD53">
        <f>COUNTIF($E$9:$E53,$E53)</f>
        <v>2</v>
      </c>
      <c r="AE53" s="35">
        <f>SUMIF($E$9:$E$115,$E53,$AC$9:$AC$115)</f>
        <v>2477</v>
      </c>
      <c r="AF53" s="35">
        <f>IF($AD53&gt;1,0,SUMIF($E$9:$E$115,$E53,$AC$9:$AC$115))</f>
        <v>0</v>
      </c>
      <c r="AG53" s="11">
        <f>IF(Z53=0,"",1+COUNTIFS($C$9:$C$115,$C53,$Z$9:$Z$115,"&gt;"&amp;$Z53))</f>
        <v>6</v>
      </c>
      <c r="AH53" t="str">
        <f t="shared" si="33"/>
        <v>Andy Bussell- QO- M45</v>
      </c>
      <c r="AI53" s="22">
        <f t="shared" si="46"/>
        <v>889</v>
      </c>
    </row>
    <row r="54" spans="1:35" ht="14.25" customHeight="1" x14ac:dyDescent="0.25">
      <c r="A54" s="79" t="s">
        <v>195</v>
      </c>
      <c r="B54" t="s">
        <v>3</v>
      </c>
      <c r="C54" s="81" t="str">
        <f t="shared" si="14"/>
        <v>Wellington Long</v>
      </c>
      <c r="D54" t="s">
        <v>183</v>
      </c>
      <c r="E54" s="81" t="str">
        <f t="shared" si="0"/>
        <v>Adam Fieldhouse Long</v>
      </c>
      <c r="F54" t="s">
        <v>103</v>
      </c>
      <c r="G54">
        <v>50</v>
      </c>
      <c r="H54">
        <v>37</v>
      </c>
      <c r="I54" s="30">
        <f t="shared" si="7"/>
        <v>3.515046296296296E-2</v>
      </c>
      <c r="J54" s="7">
        <f t="shared" si="47"/>
        <v>3.515046296296296E-2</v>
      </c>
      <c r="K54" s="7">
        <f t="shared" si="48"/>
        <v>1</v>
      </c>
      <c r="L54" s="10">
        <f t="shared" si="49"/>
        <v>50.616666666666667</v>
      </c>
      <c r="N54" s="6" t="s">
        <v>18</v>
      </c>
      <c r="O54" s="43">
        <v>840</v>
      </c>
      <c r="P54" s="44">
        <v>30</v>
      </c>
      <c r="Q54" s="45">
        <f t="shared" si="52"/>
        <v>810</v>
      </c>
      <c r="R54" s="45">
        <f>IF(VLOOKUP($A54,events!$B$4:$C$8,2,0)=$Q54,ROUNDDOWN(50-$L54,0),0)</f>
        <v>0</v>
      </c>
      <c r="S54" s="44">
        <f t="shared" si="43"/>
        <v>0</v>
      </c>
      <c r="T54" s="46">
        <f t="shared" si="53"/>
        <v>810</v>
      </c>
      <c r="U54" s="47">
        <f>ROUND($T54*1000/_xlfn.AGGREGATE(14,6,$T$9:$T$115/($C$9:$C$115=$C54),1),0)</f>
        <v>810</v>
      </c>
      <c r="V54" s="47">
        <f>1+COUNTIFS($C$9:$C$115,$C54,$U$9:$U$115,"&gt;"&amp;$U54)</f>
        <v>5</v>
      </c>
      <c r="W54" s="45">
        <f t="shared" si="44"/>
        <v>1</v>
      </c>
      <c r="X54" s="46">
        <f t="shared" si="54"/>
        <v>810</v>
      </c>
      <c r="Y54" s="48"/>
      <c r="Z54" s="59">
        <f>ROUND($X54*1000/_xlfn.AGGREGATE(14,6,$X$9:$X$115/($C$9:$C$115=$C54),1),0)+Y54</f>
        <v>791</v>
      </c>
      <c r="AA54" s="48"/>
      <c r="AB54" s="50">
        <f>IF($AA54="d",$B$5+1,1+SUMPRODUCT(($E$9:$E$153=$E54)*($Z$9:$Z$153&gt;$Z54)))</f>
        <v>4</v>
      </c>
      <c r="AC54" s="49" t="str">
        <f t="shared" si="45"/>
        <v/>
      </c>
      <c r="AD54">
        <f>COUNTIF($E$9:$E54,$E54)</f>
        <v>2</v>
      </c>
      <c r="AE54" s="35">
        <f>SUMIF($E$9:$E$115,$E54,$AC$9:$AC$115)</f>
        <v>2719</v>
      </c>
      <c r="AF54" s="35">
        <f>IF($AD54&gt;1,0,SUMIF($E$9:$E$115,$E54,$AC$9:$AC$115))</f>
        <v>0</v>
      </c>
      <c r="AG54" s="11">
        <f>IF(Z54=0,"",1+COUNTIFS($C$9:$C$115,$C54,$Z$9:$Z$115,"&gt;"&amp;$Z54))</f>
        <v>9</v>
      </c>
      <c r="AH54" t="str">
        <f t="shared" si="33"/>
        <v>Adam Fieldhouse- QO- M21</v>
      </c>
      <c r="AI54" s="22" t="str">
        <f t="shared" si="46"/>
        <v/>
      </c>
    </row>
    <row r="55" spans="1:35" ht="14.25" customHeight="1" x14ac:dyDescent="0.25">
      <c r="A55" s="79" t="s">
        <v>195</v>
      </c>
      <c r="B55" t="s">
        <v>3</v>
      </c>
      <c r="C55" s="81" t="str">
        <f t="shared" si="14"/>
        <v>Wellington Long</v>
      </c>
      <c r="D55" t="s">
        <v>197</v>
      </c>
      <c r="E55" s="81" t="str">
        <f t="shared" si="0"/>
        <v>Matt Atkins Long</v>
      </c>
      <c r="F55" t="s">
        <v>168</v>
      </c>
      <c r="G55">
        <v>50</v>
      </c>
      <c r="H55">
        <v>33</v>
      </c>
      <c r="I55" s="30">
        <f t="shared" si="7"/>
        <v>3.5104166666666665E-2</v>
      </c>
      <c r="J55" s="7">
        <f t="shared" si="47"/>
        <v>3.5104166666666665E-2</v>
      </c>
      <c r="K55" s="7">
        <f t="shared" si="48"/>
        <v>1</v>
      </c>
      <c r="L55" s="10">
        <f t="shared" si="49"/>
        <v>50.550000000000004</v>
      </c>
      <c r="N55" s="6" t="s">
        <v>26</v>
      </c>
      <c r="O55" s="43">
        <v>810</v>
      </c>
      <c r="P55" s="44">
        <v>30</v>
      </c>
      <c r="Q55" s="45">
        <f t="shared" si="52"/>
        <v>780</v>
      </c>
      <c r="R55" s="45">
        <f>IF(VLOOKUP($A55,events!$B$4:$C$8,2,0)=$Q55,ROUNDDOWN(50-$L55,0),0)</f>
        <v>0</v>
      </c>
      <c r="S55" s="44">
        <f t="shared" si="43"/>
        <v>0</v>
      </c>
      <c r="T55" s="46">
        <f t="shared" si="53"/>
        <v>780</v>
      </c>
      <c r="U55" s="47">
        <f>ROUND($T55*1000/_xlfn.AGGREGATE(14,6,$T$9:$T$115/($C$9:$C$115=$C55),1),0)</f>
        <v>780</v>
      </c>
      <c r="V55" s="47">
        <f>1+COUNTIFS($C$9:$C$115,$C55,$U$9:$U$115,"&gt;"&amp;$U55)</f>
        <v>7</v>
      </c>
      <c r="W55" s="45">
        <f t="shared" si="44"/>
        <v>0.85</v>
      </c>
      <c r="X55" s="46">
        <f t="shared" si="54"/>
        <v>918</v>
      </c>
      <c r="Y55" s="48"/>
      <c r="Z55" s="59">
        <f>ROUND($X55*1000/_xlfn.AGGREGATE(14,6,$X$9:$X$115/($C$9:$C$115=$C55),1),0)+Y55</f>
        <v>896</v>
      </c>
      <c r="AA55" s="48"/>
      <c r="AB55" s="50">
        <f>IF($AA55="d",$B$5+1,1+SUMPRODUCT(($E$9:$E$153=$E55)*($Z$9:$Z$153&gt;$Z55)))</f>
        <v>3</v>
      </c>
      <c r="AC55" s="49">
        <f t="shared" si="45"/>
        <v>896</v>
      </c>
      <c r="AD55">
        <f>COUNTIF($E$9:$E55,$E55)</f>
        <v>1</v>
      </c>
      <c r="AE55" s="35">
        <f>SUMIF($E$9:$E$115,$E55,$AC$9:$AC$115)</f>
        <v>2842</v>
      </c>
      <c r="AF55" s="35">
        <f>IF($AD55&gt;1,0,SUMIF($E$9:$E$115,$E55,$AC$9:$AC$115))</f>
        <v>2842</v>
      </c>
      <c r="AG55" s="11">
        <f>IF(Z55=0,"",1+COUNTIFS($C$9:$C$115,$C55,$Z$9:$Z$115,"&gt;"&amp;$Z55))</f>
        <v>5</v>
      </c>
      <c r="AH55" t="str">
        <f t="shared" si="33"/>
        <v>Matt Atkins- Devon- M50</v>
      </c>
      <c r="AI55" s="22">
        <f t="shared" si="46"/>
        <v>896</v>
      </c>
    </row>
    <row r="56" spans="1:35" ht="14.25" customHeight="1" x14ac:dyDescent="0.25">
      <c r="A56" s="79" t="s">
        <v>195</v>
      </c>
      <c r="B56" t="s">
        <v>3</v>
      </c>
      <c r="C56" s="81" t="str">
        <f t="shared" si="14"/>
        <v>Wellington Long</v>
      </c>
      <c r="D56" t="s">
        <v>198</v>
      </c>
      <c r="E56" s="81" t="str">
        <f t="shared" si="0"/>
        <v>Sam Johnson Long</v>
      </c>
      <c r="F56" t="s">
        <v>169</v>
      </c>
      <c r="G56">
        <v>50</v>
      </c>
      <c r="H56">
        <v>56</v>
      </c>
      <c r="I56" s="30">
        <f t="shared" si="7"/>
        <v>3.5370370370370365E-2</v>
      </c>
      <c r="J56" s="7">
        <f t="shared" si="47"/>
        <v>3.5370370370370365E-2</v>
      </c>
      <c r="K56" s="7">
        <f t="shared" si="48"/>
        <v>1</v>
      </c>
      <c r="L56" s="10">
        <f t="shared" si="49"/>
        <v>50.93333333333333</v>
      </c>
      <c r="N56" s="6" t="s">
        <v>18</v>
      </c>
      <c r="O56" s="43">
        <v>780</v>
      </c>
      <c r="P56" s="44">
        <v>30</v>
      </c>
      <c r="Q56" s="45">
        <f t="shared" si="52"/>
        <v>750</v>
      </c>
      <c r="R56" s="45">
        <f>IF(VLOOKUP($A56,events!$B$4:$C$8,2,0)=$Q56,ROUNDDOWN(50-$L56,0),0)</f>
        <v>0</v>
      </c>
      <c r="S56" s="44">
        <f t="shared" si="43"/>
        <v>0</v>
      </c>
      <c r="T56" s="46">
        <f t="shared" si="53"/>
        <v>750</v>
      </c>
      <c r="U56" s="47">
        <f>ROUND($T56*1000/_xlfn.AGGREGATE(14,6,$T$9:$T$115/($C$9:$C$115=$C56),1),0)</f>
        <v>750</v>
      </c>
      <c r="V56" s="47">
        <f>1+COUNTIFS($C$9:$C$115,$C56,$U$9:$U$115,"&gt;"&amp;$U56)</f>
        <v>8</v>
      </c>
      <c r="W56" s="45">
        <f t="shared" si="44"/>
        <v>1</v>
      </c>
      <c r="X56" s="46">
        <f t="shared" si="54"/>
        <v>750</v>
      </c>
      <c r="Y56" s="48"/>
      <c r="Z56" s="59">
        <f>ROUND($X56*1000/_xlfn.AGGREGATE(14,6,$X$9:$X$115/($C$9:$C$115=$C56),1),0)+Y56</f>
        <v>732</v>
      </c>
      <c r="AA56" s="48"/>
      <c r="AB56" s="50">
        <f>IF($AA56="d",$B$5+1,1+SUMPRODUCT(($E$9:$E$153=$E56)*($Z$9:$Z$153&gt;$Z56)))</f>
        <v>1</v>
      </c>
      <c r="AC56" s="49" t="str">
        <f t="shared" si="45"/>
        <v/>
      </c>
      <c r="AD56">
        <f>COUNTIF($E$9:$E56,$E56)</f>
        <v>1</v>
      </c>
      <c r="AE56" s="35">
        <f>SUMIF($E$9:$E$115,$E56,$AC$9:$AC$115)</f>
        <v>0</v>
      </c>
      <c r="AF56" s="35">
        <f>IF($AD56&gt;1,0,SUMIF($E$9:$E$115,$E56,$AC$9:$AC$115))</f>
        <v>0</v>
      </c>
      <c r="AG56" s="11">
        <f>IF(Z56=0,"",1+COUNTIFS($C$9:$C$115,$C56,$Z$9:$Z$115,"&gt;"&amp;$Z56))</f>
        <v>11</v>
      </c>
      <c r="AH56" t="str">
        <f t="shared" si="33"/>
        <v>Sam Johnson- Ind- M21</v>
      </c>
      <c r="AI56" s="22" t="str">
        <f t="shared" si="46"/>
        <v/>
      </c>
    </row>
    <row r="57" spans="1:35" ht="14.25" customHeight="1" x14ac:dyDescent="0.25">
      <c r="A57" s="79" t="s">
        <v>195</v>
      </c>
      <c r="B57" t="s">
        <v>3</v>
      </c>
      <c r="C57" s="81" t="str">
        <f t="shared" si="14"/>
        <v>Wellington Long</v>
      </c>
      <c r="D57" t="s">
        <v>194</v>
      </c>
      <c r="E57" s="81" t="str">
        <f t="shared" si="0"/>
        <v>Chris Philip Long</v>
      </c>
      <c r="F57" t="s">
        <v>103</v>
      </c>
      <c r="G57">
        <v>49</v>
      </c>
      <c r="H57">
        <v>19</v>
      </c>
      <c r="I57" s="30">
        <f t="shared" si="7"/>
        <v>3.4247685185185187E-2</v>
      </c>
      <c r="J57" s="7">
        <f t="shared" si="47"/>
        <v>3.4247685185185187E-2</v>
      </c>
      <c r="K57" s="7">
        <f t="shared" si="48"/>
        <v>1</v>
      </c>
      <c r="L57" s="10">
        <f t="shared" si="49"/>
        <v>49.31666666666667</v>
      </c>
      <c r="N57" s="6" t="s">
        <v>32</v>
      </c>
      <c r="O57" s="43">
        <v>690</v>
      </c>
      <c r="P57" s="44">
        <v>0</v>
      </c>
      <c r="Q57" s="45">
        <f t="shared" si="52"/>
        <v>690</v>
      </c>
      <c r="R57" s="45">
        <f>IF(VLOOKUP($A57,events!$B$4:$C$8,2,0)=$Q57,ROUNDDOWN(50-$L57,0),0)</f>
        <v>0</v>
      </c>
      <c r="S57" s="44">
        <f t="shared" si="43"/>
        <v>0</v>
      </c>
      <c r="T57" s="46">
        <f t="shared" si="53"/>
        <v>690</v>
      </c>
      <c r="U57" s="47">
        <f>ROUND($T57*1000/_xlfn.AGGREGATE(14,6,$T$9:$T$115/($C$9:$C$115=$C57),1),0)</f>
        <v>690</v>
      </c>
      <c r="V57" s="47">
        <f>1+COUNTIFS($C$9:$C$115,$C57,$U$9:$U$115,"&gt;"&amp;$U57)</f>
        <v>9</v>
      </c>
      <c r="W57" s="45">
        <f t="shared" si="44"/>
        <v>0.7</v>
      </c>
      <c r="X57" s="46">
        <f t="shared" si="54"/>
        <v>986</v>
      </c>
      <c r="Y57" s="48"/>
      <c r="Z57" s="59">
        <f>ROUND($X57*1000/_xlfn.AGGREGATE(14,6,$X$9:$X$115/($C$9:$C$115=$C57),1),0)+Y57</f>
        <v>963</v>
      </c>
      <c r="AA57" s="48"/>
      <c r="AB57" s="50">
        <f>IF($AA57="d",$B$5+1,1+SUMPRODUCT(($E$9:$E$153=$E57)*($Z$9:$Z$153&gt;$Z57)))</f>
        <v>2</v>
      </c>
      <c r="AC57" s="49">
        <f t="shared" si="45"/>
        <v>963</v>
      </c>
      <c r="AD57">
        <f>COUNTIF($E$9:$E57,$E57)</f>
        <v>2</v>
      </c>
      <c r="AE57" s="35">
        <f>SUMIF($E$9:$E$115,$E57,$AC$9:$AC$115)</f>
        <v>2863</v>
      </c>
      <c r="AF57" s="35">
        <f>IF($AD57&gt;1,0,SUMIF($E$9:$E$115,$E57,$AC$9:$AC$115))</f>
        <v>0</v>
      </c>
      <c r="AG57" s="11">
        <f>IF(Z57=0,"",1+COUNTIFS($C$9:$C$115,$C57,$Z$9:$Z$115,"&gt;"&amp;$Z57))</f>
        <v>3</v>
      </c>
      <c r="AH57" t="str">
        <f t="shared" si="33"/>
        <v>Chris Philip- QO- M65</v>
      </c>
      <c r="AI57" s="22">
        <f t="shared" si="46"/>
        <v>963</v>
      </c>
    </row>
    <row r="58" spans="1:35" ht="14.25" customHeight="1" x14ac:dyDescent="0.25">
      <c r="A58" s="79" t="s">
        <v>195</v>
      </c>
      <c r="B58" t="s">
        <v>3</v>
      </c>
      <c r="C58" s="81" t="str">
        <f t="shared" si="14"/>
        <v>Wellington Long</v>
      </c>
      <c r="D58" t="s">
        <v>165</v>
      </c>
      <c r="E58" s="81" t="str">
        <f t="shared" si="0"/>
        <v>Miffy Treherne Long</v>
      </c>
      <c r="F58" t="s">
        <v>103</v>
      </c>
      <c r="G58">
        <v>49</v>
      </c>
      <c r="H58">
        <v>52</v>
      </c>
      <c r="I58" s="30">
        <f t="shared" si="7"/>
        <v>3.4629629629629628E-2</v>
      </c>
      <c r="J58" s="7">
        <f t="shared" si="47"/>
        <v>3.4629629629629628E-2</v>
      </c>
      <c r="K58" s="7">
        <f t="shared" si="48"/>
        <v>1</v>
      </c>
      <c r="L58" s="10">
        <f t="shared" si="49"/>
        <v>49.866666666666667</v>
      </c>
      <c r="N58" s="6" t="s">
        <v>27</v>
      </c>
      <c r="O58" s="43">
        <v>690</v>
      </c>
      <c r="P58" s="44">
        <v>0</v>
      </c>
      <c r="Q58" s="45">
        <f t="shared" si="52"/>
        <v>690</v>
      </c>
      <c r="R58" s="45">
        <f>IF(VLOOKUP($A58,events!$B$4:$C$8,2,0)=$Q58,ROUNDDOWN(50-$L58,0),0)</f>
        <v>0</v>
      </c>
      <c r="S58" s="44">
        <f t="shared" si="43"/>
        <v>0</v>
      </c>
      <c r="T58" s="46">
        <f t="shared" si="53"/>
        <v>690</v>
      </c>
      <c r="U58" s="47">
        <f>ROUND($T58*1000/_xlfn.AGGREGATE(14,6,$T$9:$T$115/($C$9:$C$115=$C58),1),0)</f>
        <v>690</v>
      </c>
      <c r="V58" s="47">
        <f>1+COUNTIFS($C$9:$C$115,$C58,$U$9:$U$115,"&gt;"&amp;$U58)</f>
        <v>9</v>
      </c>
      <c r="W58" s="45">
        <f t="shared" si="44"/>
        <v>0.75</v>
      </c>
      <c r="X58" s="46">
        <f t="shared" si="54"/>
        <v>920</v>
      </c>
      <c r="Y58" s="48"/>
      <c r="Z58" s="59">
        <f>ROUND($X58*1000/_xlfn.AGGREGATE(14,6,$X$9:$X$115/($C$9:$C$115=$C58),1),0)+Y58</f>
        <v>898</v>
      </c>
      <c r="AA58" s="48"/>
      <c r="AB58" s="50">
        <f>IF($AA58="d",$B$5+1,1+SUMPRODUCT(($E$9:$E$153=$E58)*($Z$9:$Z$153&gt;$Z58)))</f>
        <v>1</v>
      </c>
      <c r="AC58" s="49">
        <f t="shared" si="45"/>
        <v>898</v>
      </c>
      <c r="AD58">
        <f>COUNTIF($E$9:$E58,$E58)</f>
        <v>3</v>
      </c>
      <c r="AE58" s="35">
        <f>SUMIF($E$9:$E$115,$E58,$AC$9:$AC$115)</f>
        <v>2548</v>
      </c>
      <c r="AF58" s="35">
        <f>IF($AD58&gt;1,0,SUMIF($E$9:$E$115,$E58,$AC$9:$AC$115))</f>
        <v>0</v>
      </c>
      <c r="AG58" s="11">
        <f>IF(Z58=0,"",1+COUNTIFS($C$9:$C$115,$C58,$Z$9:$Z$115,"&gt;"&amp;$Z58))</f>
        <v>4</v>
      </c>
      <c r="AH58" t="str">
        <f t="shared" si="33"/>
        <v>Miffy Treherne- QO- W50</v>
      </c>
      <c r="AI58" s="22">
        <f t="shared" si="46"/>
        <v>898</v>
      </c>
    </row>
    <row r="59" spans="1:35" ht="14.25" customHeight="1" x14ac:dyDescent="0.25">
      <c r="A59" s="79" t="s">
        <v>195</v>
      </c>
      <c r="B59" t="s">
        <v>3</v>
      </c>
      <c r="C59" s="81" t="str">
        <f t="shared" si="14"/>
        <v>Wellington Long</v>
      </c>
      <c r="D59" t="s">
        <v>107</v>
      </c>
      <c r="E59" s="81" t="str">
        <f t="shared" si="0"/>
        <v>Pete Shirvington Long</v>
      </c>
      <c r="F59" t="s">
        <v>103</v>
      </c>
      <c r="G59">
        <v>54</v>
      </c>
      <c r="H59">
        <v>30</v>
      </c>
      <c r="I59" s="30">
        <f t="shared" si="7"/>
        <v>3.784722222222222E-2</v>
      </c>
      <c r="J59" s="7">
        <f t="shared" si="47"/>
        <v>3.784722222222222E-2</v>
      </c>
      <c r="K59" s="7">
        <f t="shared" si="48"/>
        <v>1</v>
      </c>
      <c r="L59" s="10">
        <f t="shared" si="49"/>
        <v>54.499999999999993</v>
      </c>
      <c r="N59" s="6" t="s">
        <v>24</v>
      </c>
      <c r="O59" s="43">
        <v>830</v>
      </c>
      <c r="P59" s="44">
        <v>150</v>
      </c>
      <c r="Q59" s="45">
        <f t="shared" si="52"/>
        <v>680</v>
      </c>
      <c r="R59" s="45">
        <f>IF(VLOOKUP($A59,events!$B$4:$C$8,2,0)=$Q59,ROUNDDOWN(50-$L59,0),0)</f>
        <v>0</v>
      </c>
      <c r="S59" s="44">
        <f t="shared" si="43"/>
        <v>0</v>
      </c>
      <c r="T59" s="46">
        <f t="shared" si="53"/>
        <v>680</v>
      </c>
      <c r="U59" s="47">
        <f>ROUND($T59*1000/_xlfn.AGGREGATE(14,6,$T$9:$T$115/($C$9:$C$115=$C59),1),0)</f>
        <v>680</v>
      </c>
      <c r="V59" s="47">
        <f>1+COUNTIFS($C$9:$C$115,$C59,$U$9:$U$115,"&gt;"&amp;$U59)</f>
        <v>11</v>
      </c>
      <c r="W59" s="45">
        <f t="shared" si="44"/>
        <v>0.89</v>
      </c>
      <c r="X59" s="46">
        <f t="shared" si="54"/>
        <v>764</v>
      </c>
      <c r="Y59" s="48"/>
      <c r="Z59" s="59">
        <f>ROUND($X59*1000/_xlfn.AGGREGATE(14,6,$X$9:$X$115/($C$9:$C$115=$C59),1),0)+Y59</f>
        <v>746</v>
      </c>
      <c r="AA59" s="48"/>
      <c r="AB59" s="50">
        <f>IF($AA59="d",$B$5+1,1+SUMPRODUCT(($E$9:$E$153=$E59)*($Z$9:$Z$153&gt;$Z59)))</f>
        <v>2</v>
      </c>
      <c r="AC59" s="49">
        <f t="shared" si="45"/>
        <v>746</v>
      </c>
      <c r="AD59">
        <f>COUNTIF($E$9:$E59,$E59)</f>
        <v>2</v>
      </c>
      <c r="AE59" s="35">
        <f>SUMIF($E$9:$E$115,$E59,$AC$9:$AC$115)</f>
        <v>1514</v>
      </c>
      <c r="AF59" s="35">
        <f>IF($AD59&gt;1,0,SUMIF($E$9:$E$115,$E59,$AC$9:$AC$115))</f>
        <v>0</v>
      </c>
      <c r="AG59" s="11">
        <f>IF(Z59=0,"",1+COUNTIFS($C$9:$C$115,$C59,$Z$9:$Z$115,"&gt;"&amp;$Z59))</f>
        <v>10</v>
      </c>
      <c r="AH59" t="str">
        <f t="shared" si="33"/>
        <v>Pete Shirvington- QO- M45</v>
      </c>
      <c r="AI59" s="22">
        <f t="shared" si="46"/>
        <v>746</v>
      </c>
    </row>
    <row r="60" spans="1:35" ht="14.25" customHeight="1" x14ac:dyDescent="0.25">
      <c r="A60" s="79" t="s">
        <v>195</v>
      </c>
      <c r="B60" t="s">
        <v>3</v>
      </c>
      <c r="C60" s="81" t="str">
        <f t="shared" si="14"/>
        <v>Wellington Long</v>
      </c>
      <c r="D60" t="s">
        <v>109</v>
      </c>
      <c r="E60" s="81" t="str">
        <f t="shared" si="0"/>
        <v>Brian Pearson Long</v>
      </c>
      <c r="F60" t="s">
        <v>103</v>
      </c>
      <c r="G60">
        <v>55</v>
      </c>
      <c r="H60">
        <v>47</v>
      </c>
      <c r="I60" s="30">
        <f t="shared" si="7"/>
        <v>3.8738425925925926E-2</v>
      </c>
      <c r="J60" s="7">
        <f t="shared" si="47"/>
        <v>3.8738425925925926E-2</v>
      </c>
      <c r="K60" s="7">
        <f t="shared" si="48"/>
        <v>1</v>
      </c>
      <c r="L60" s="10">
        <f t="shared" si="49"/>
        <v>55.783333333333331</v>
      </c>
      <c r="N60" s="6" t="s">
        <v>30</v>
      </c>
      <c r="O60" s="43">
        <v>730</v>
      </c>
      <c r="P60" s="44">
        <v>180</v>
      </c>
      <c r="Q60" s="45">
        <f t="shared" si="52"/>
        <v>550</v>
      </c>
      <c r="R60" s="45">
        <f>IF(VLOOKUP($A60,events!$B$4:$C$8,2,0)=$Q60,ROUNDDOWN(50-$L60,0),0)</f>
        <v>0</v>
      </c>
      <c r="S60" s="44">
        <f t="shared" si="43"/>
        <v>0</v>
      </c>
      <c r="T60" s="46">
        <f t="shared" si="53"/>
        <v>550</v>
      </c>
      <c r="U60" s="47">
        <f>ROUND($T60*1000/_xlfn.AGGREGATE(14,6,$T$9:$T$115/($C$9:$C$115=$C60),1),0)</f>
        <v>550</v>
      </c>
      <c r="V60" s="47">
        <f>1+COUNTIFS($C$9:$C$115,$C60,$U$9:$U$115,"&gt;"&amp;$U60)</f>
        <v>12</v>
      </c>
      <c r="W60" s="45">
        <f t="shared" si="44"/>
        <v>0.76</v>
      </c>
      <c r="X60" s="46">
        <f t="shared" si="54"/>
        <v>724</v>
      </c>
      <c r="Y60" s="48"/>
      <c r="Z60" s="59">
        <f>ROUND($X60*1000/_xlfn.AGGREGATE(14,6,$X$9:$X$115/($C$9:$C$115=$C60),1),0)+Y60</f>
        <v>707</v>
      </c>
      <c r="AA60" s="48"/>
      <c r="AB60" s="50">
        <f>IF($AA60="d",$B$5+1,1+SUMPRODUCT(($E$9:$E$153=$E60)*($Z$9:$Z$153&gt;$Z60)))</f>
        <v>1</v>
      </c>
      <c r="AC60" s="49">
        <f t="shared" si="45"/>
        <v>707</v>
      </c>
      <c r="AD60">
        <f>COUNTIF($E$9:$E60,$E60)</f>
        <v>2</v>
      </c>
      <c r="AE60" s="35">
        <f>SUMIF($E$9:$E$115,$E60,$AC$9:$AC$115)</f>
        <v>2039</v>
      </c>
      <c r="AF60" s="35">
        <f>IF($AD60&gt;1,0,SUMIF($E$9:$E$115,$E60,$AC$9:$AC$115))</f>
        <v>0</v>
      </c>
      <c r="AG60" s="11">
        <f>IF(Z60=0,"",1+COUNTIFS($C$9:$C$115,$C60,$Z$9:$Z$115,"&gt;"&amp;$Z60))</f>
        <v>12</v>
      </c>
      <c r="AH60" t="str">
        <f t="shared" si="33"/>
        <v>Brian Pearson- QO- M60</v>
      </c>
      <c r="AI60" s="22">
        <f t="shared" si="46"/>
        <v>707</v>
      </c>
    </row>
    <row r="61" spans="1:35" ht="14.25" customHeight="1" x14ac:dyDescent="0.25">
      <c r="A61" s="79" t="s">
        <v>195</v>
      </c>
      <c r="B61" t="s">
        <v>3</v>
      </c>
      <c r="C61" s="81" t="str">
        <f t="shared" si="14"/>
        <v>Wellington Long</v>
      </c>
      <c r="D61" t="s">
        <v>110</v>
      </c>
      <c r="E61" s="81" t="str">
        <f t="shared" si="0"/>
        <v>Simon St Leger-Harris Long</v>
      </c>
      <c r="F61" t="s">
        <v>103</v>
      </c>
      <c r="G61">
        <v>56</v>
      </c>
      <c r="H61">
        <v>36</v>
      </c>
      <c r="I61" s="30">
        <f t="shared" si="7"/>
        <v>3.9305555555555559E-2</v>
      </c>
      <c r="J61" s="7">
        <f t="shared" si="47"/>
        <v>3.9305555555555559E-2</v>
      </c>
      <c r="K61" s="7">
        <f t="shared" si="48"/>
        <v>1</v>
      </c>
      <c r="L61" s="10">
        <f t="shared" si="49"/>
        <v>56.6</v>
      </c>
      <c r="N61" s="6" t="s">
        <v>32</v>
      </c>
      <c r="O61" s="43">
        <v>660</v>
      </c>
      <c r="P61" s="44">
        <v>210</v>
      </c>
      <c r="Q61" s="45">
        <f t="shared" si="52"/>
        <v>450</v>
      </c>
      <c r="R61" s="45">
        <f>IF(VLOOKUP($A61,events!$B$4:$C$8,2,0)=$Q61,ROUNDDOWN(50-$L61,0),0)</f>
        <v>0</v>
      </c>
      <c r="S61" s="44">
        <f t="shared" si="43"/>
        <v>0</v>
      </c>
      <c r="T61" s="46">
        <f t="shared" si="53"/>
        <v>450</v>
      </c>
      <c r="U61" s="47">
        <f>ROUND($T61*1000/_xlfn.AGGREGATE(14,6,$T$9:$T$115/($C$9:$C$115=$C61),1),0)</f>
        <v>450</v>
      </c>
      <c r="V61" s="47">
        <f>1+COUNTIFS($C$9:$C$115,$C61,$U$9:$U$115,"&gt;"&amp;$U61)</f>
        <v>13</v>
      </c>
      <c r="W61" s="45">
        <f t="shared" si="44"/>
        <v>0.7</v>
      </c>
      <c r="X61" s="46">
        <f t="shared" si="54"/>
        <v>643</v>
      </c>
      <c r="Y61" s="48"/>
      <c r="Z61" s="59">
        <f>ROUND($X61*1000/_xlfn.AGGREGATE(14,6,$X$9:$X$115/($C$9:$C$115=$C61),1),0)+Y61</f>
        <v>628</v>
      </c>
      <c r="AA61" s="48"/>
      <c r="AB61" s="50">
        <f>IF($AA61="d",$B$5+1,1+SUMPRODUCT(($E$9:$E$153=$E61)*($Z$9:$Z$153&gt;$Z61)))</f>
        <v>5</v>
      </c>
      <c r="AC61" s="49" t="str">
        <f t="shared" si="45"/>
        <v/>
      </c>
      <c r="AD61">
        <f>COUNTIF($E$9:$E61,$E61)</f>
        <v>3</v>
      </c>
      <c r="AE61" s="35">
        <f>SUMIF($E$9:$E$115,$E61,$AC$9:$AC$115)</f>
        <v>2425</v>
      </c>
      <c r="AF61" s="35">
        <f>IF($AD61&gt;1,0,SUMIF($E$9:$E$115,$E61,$AC$9:$AC$115))</f>
        <v>0</v>
      </c>
      <c r="AG61" s="11">
        <f>IF(Z61=0,"",1+COUNTIFS($C$9:$C$115,$C61,$Z$9:$Z$115,"&gt;"&amp;$Z61))</f>
        <v>13</v>
      </c>
      <c r="AH61" t="str">
        <f t="shared" si="33"/>
        <v>Simon St Leger-Harris- QO- M65</v>
      </c>
      <c r="AI61" s="22" t="str">
        <f t="shared" si="46"/>
        <v/>
      </c>
    </row>
    <row r="62" spans="1:35" ht="14.25" customHeight="1" x14ac:dyDescent="0.25">
      <c r="A62" s="79" t="s">
        <v>195</v>
      </c>
      <c r="B62" t="s">
        <v>3</v>
      </c>
      <c r="C62" s="81" t="str">
        <f t="shared" si="14"/>
        <v>Wellington Long</v>
      </c>
      <c r="D62" t="s">
        <v>187</v>
      </c>
      <c r="E62" s="81" t="str">
        <f t="shared" si="0"/>
        <v>Stephen Lysaczenko Long</v>
      </c>
      <c r="F62" t="s">
        <v>103</v>
      </c>
      <c r="G62">
        <v>56</v>
      </c>
      <c r="H62">
        <v>57</v>
      </c>
      <c r="I62" s="30">
        <f t="shared" si="7"/>
        <v>3.9548611111111111E-2</v>
      </c>
      <c r="J62" s="7">
        <f t="shared" si="47"/>
        <v>3.9548611111111111E-2</v>
      </c>
      <c r="K62" s="7">
        <f t="shared" si="48"/>
        <v>1</v>
      </c>
      <c r="L62" s="10">
        <f t="shared" si="49"/>
        <v>56.95</v>
      </c>
      <c r="N62" s="6" t="s">
        <v>28</v>
      </c>
      <c r="O62" s="43">
        <v>500</v>
      </c>
      <c r="P62" s="44">
        <v>210</v>
      </c>
      <c r="Q62" s="45">
        <f t="shared" si="52"/>
        <v>290</v>
      </c>
      <c r="R62" s="45">
        <f>IF(VLOOKUP($A62,events!$B$4:$C$8,2,0)=$Q62,ROUNDDOWN(50-$L62,0),0)</f>
        <v>0</v>
      </c>
      <c r="S62" s="44">
        <f t="shared" si="43"/>
        <v>0</v>
      </c>
      <c r="T62" s="46">
        <f t="shared" si="53"/>
        <v>290</v>
      </c>
      <c r="U62" s="47">
        <f>ROUND($T62*1000/_xlfn.AGGREGATE(14,6,$T$9:$T$115/($C$9:$C$115=$C62),1),0)</f>
        <v>290</v>
      </c>
      <c r="V62" s="47">
        <f>1+COUNTIFS($C$9:$C$115,$C62,$U$9:$U$115,"&gt;"&amp;$U62)</f>
        <v>14</v>
      </c>
      <c r="W62" s="45">
        <f t="shared" si="44"/>
        <v>0.82</v>
      </c>
      <c r="X62" s="46">
        <f t="shared" si="54"/>
        <v>354</v>
      </c>
      <c r="Y62" s="48"/>
      <c r="Z62" s="59">
        <f>ROUND($X62*1000/_xlfn.AGGREGATE(14,6,$X$9:$X$115/($C$9:$C$115=$C62),1),0)+Y62</f>
        <v>346</v>
      </c>
      <c r="AA62" s="48"/>
      <c r="AB62" s="50">
        <f>IF($AA62="d",$B$5+1,1+SUMPRODUCT(($E$9:$E$153=$E62)*($Z$9:$Z$153&gt;$Z62)))</f>
        <v>3</v>
      </c>
      <c r="AC62" s="49">
        <f t="shared" si="45"/>
        <v>346</v>
      </c>
      <c r="AD62">
        <f>COUNTIF($E$9:$E62,$E62)</f>
        <v>2</v>
      </c>
      <c r="AE62" s="35">
        <f>SUMIF($E$9:$E$115,$E62,$AC$9:$AC$115)</f>
        <v>1507</v>
      </c>
      <c r="AF62" s="35">
        <f>IF($AD62&gt;1,0,SUMIF($E$9:$E$115,$E62,$AC$9:$AC$115))</f>
        <v>0</v>
      </c>
      <c r="AG62" s="11">
        <f>IF(Z62=0,"",1+COUNTIFS($C$9:$C$115,$C62,$Z$9:$Z$115,"&gt;"&amp;$Z62))</f>
        <v>15</v>
      </c>
      <c r="AH62" t="str">
        <f t="shared" si="33"/>
        <v>Stephen Lysaczenko- QO- M55</v>
      </c>
      <c r="AI62" s="22">
        <f t="shared" si="46"/>
        <v>346</v>
      </c>
    </row>
    <row r="63" spans="1:35" ht="14.25" customHeight="1" x14ac:dyDescent="0.25">
      <c r="A63" s="79" t="s">
        <v>195</v>
      </c>
      <c r="B63" t="s">
        <v>3</v>
      </c>
      <c r="C63" s="81" t="str">
        <f t="shared" si="14"/>
        <v>Wellington Long</v>
      </c>
      <c r="D63" t="s">
        <v>186</v>
      </c>
      <c r="E63" s="81" t="str">
        <f t="shared" si="0"/>
        <v>Thomas Hasler Long</v>
      </c>
      <c r="F63" t="s">
        <v>103</v>
      </c>
      <c r="I63" s="30" t="str">
        <f t="shared" si="7"/>
        <v/>
      </c>
      <c r="J63" s="7" t="str">
        <f t="shared" ref="J63" si="55">I63</f>
        <v/>
      </c>
      <c r="K63" s="7">
        <f t="shared" ref="K63" si="56">IF(I63&gt;0.4,1/60,1)</f>
        <v>1.6666666666666666E-2</v>
      </c>
      <c r="L63" s="10" t="e">
        <f t="shared" ref="L63" si="57">I63*K63*24*60</f>
        <v>#VALUE!</v>
      </c>
      <c r="N63" s="6" t="s">
        <v>16</v>
      </c>
      <c r="O63" s="43"/>
      <c r="P63" s="44">
        <v>0</v>
      </c>
      <c r="Q63" s="45">
        <f t="shared" ref="Q63" si="58">O63-P63</f>
        <v>0</v>
      </c>
      <c r="R63" s="45">
        <f>IF(VLOOKUP($A63,events!$B$4:$C$8,2,0)=$Q63,ROUNDDOWN(50-$L63,0),0)</f>
        <v>0</v>
      </c>
      <c r="S63" s="44">
        <f t="shared" si="43"/>
        <v>0</v>
      </c>
      <c r="T63" s="46">
        <f t="shared" ref="T63" si="59">Q63+S63</f>
        <v>0</v>
      </c>
      <c r="U63" s="47">
        <f>ROUND($T63*1000/_xlfn.AGGREGATE(14,6,$T$9:$T$115/($C$9:$C$115=$C63),1),0)</f>
        <v>0</v>
      </c>
      <c r="V63" s="47">
        <f>1+COUNTIFS($C$9:$C$115,$C63,$U$9:$U$115,"&gt;"&amp;$U63)</f>
        <v>15</v>
      </c>
      <c r="W63" s="45">
        <f t="shared" si="44"/>
        <v>0.98</v>
      </c>
      <c r="X63" s="46">
        <f t="shared" ref="X63" si="60">ROUND(T63/W63,0)</f>
        <v>0</v>
      </c>
      <c r="Y63" s="48">
        <v>492</v>
      </c>
      <c r="Z63" s="59">
        <f>ROUND($X63*1000/_xlfn.AGGREGATE(14,6,$X$9:$X$115/($C$9:$C$115=$C63),1),0)+Y63</f>
        <v>492</v>
      </c>
      <c r="AA63" s="48"/>
      <c r="AB63" s="50">
        <f>IF($AA63="d",$B$5+1,1+SUMPRODUCT(($E$9:$E$153=$E63)*($Z$9:$Z$153&gt;$Z63)))</f>
        <v>1</v>
      </c>
      <c r="AC63" s="49">
        <f t="shared" si="45"/>
        <v>492</v>
      </c>
      <c r="AD63">
        <f>COUNTIF($E$9:$E63,$E63)</f>
        <v>2</v>
      </c>
      <c r="AE63" s="35">
        <f>SUMIF($E$9:$E$115,$E63,$AC$9:$AC$115)</f>
        <v>984</v>
      </c>
      <c r="AF63" s="35">
        <f>IF($AD63&gt;1,0,SUMIF($E$9:$E$115,$E63,$AC$9:$AC$115))</f>
        <v>0</v>
      </c>
      <c r="AG63" s="11">
        <f>IF(Z63=0,"",1+COUNTIFS($C$9:$C$115,$C63,$Z$9:$Z$115,"&gt;"&amp;$Z63))</f>
        <v>14</v>
      </c>
      <c r="AH63" t="str">
        <f t="shared" si="33"/>
        <v>Thomas Hasler- QO- M20</v>
      </c>
      <c r="AI63" s="22">
        <f t="shared" si="46"/>
        <v>492</v>
      </c>
    </row>
    <row r="64" spans="1:35" ht="14.25" customHeight="1" x14ac:dyDescent="0.25">
      <c r="A64" s="79" t="s">
        <v>195</v>
      </c>
      <c r="B64" t="s">
        <v>99</v>
      </c>
      <c r="C64" s="81" t="str">
        <f t="shared" si="14"/>
        <v>Wellington Short</v>
      </c>
      <c r="D64" t="s">
        <v>102</v>
      </c>
      <c r="E64" s="81" t="str">
        <f t="shared" si="0"/>
        <v>Andy Rimes Short</v>
      </c>
      <c r="F64" t="s">
        <v>103</v>
      </c>
      <c r="G64">
        <v>49</v>
      </c>
      <c r="H64">
        <v>43</v>
      </c>
      <c r="I64" s="30">
        <f t="shared" si="7"/>
        <v>3.4525462962962966E-2</v>
      </c>
      <c r="J64" s="7">
        <f t="shared" si="47"/>
        <v>3.4525462962962966E-2</v>
      </c>
      <c r="K64" s="7">
        <f t="shared" si="48"/>
        <v>1</v>
      </c>
      <c r="L64" s="10">
        <f t="shared" si="49"/>
        <v>49.716666666666669</v>
      </c>
      <c r="N64" s="6" t="s">
        <v>28</v>
      </c>
      <c r="O64" s="43">
        <v>930</v>
      </c>
      <c r="P64" s="44">
        <v>0</v>
      </c>
      <c r="Q64" s="45">
        <f t="shared" si="52"/>
        <v>930</v>
      </c>
      <c r="R64" s="45">
        <f>IF(VLOOKUP($A64,events!$B$4:$C$8,2,0)=$Q64,ROUNDDOWN(50-$L64,0),0)</f>
        <v>0</v>
      </c>
      <c r="S64" s="44">
        <f t="shared" si="43"/>
        <v>0</v>
      </c>
      <c r="T64" s="46">
        <f t="shared" si="53"/>
        <v>930</v>
      </c>
      <c r="U64" s="47">
        <f>ROUND($T64*1000/_xlfn.AGGREGATE(14,6,$T$9:$T$115/($C$9:$C$115=$C64),1),0)</f>
        <v>1000</v>
      </c>
      <c r="V64" s="47">
        <f>1+COUNTIFS($C$9:$C$115,$C64,$U$9:$U$115,"&gt;"&amp;$U64)</f>
        <v>1</v>
      </c>
      <c r="W64" s="45">
        <f t="shared" si="44"/>
        <v>0.82</v>
      </c>
      <c r="X64" s="46">
        <f t="shared" si="54"/>
        <v>1134</v>
      </c>
      <c r="Y64" s="48"/>
      <c r="Z64" s="59">
        <f>ROUND($X64*1000/_xlfn.AGGREGATE(14,6,$X$9:$X$115/($C$9:$C$115=$C64),1),0)+Y64</f>
        <v>872</v>
      </c>
      <c r="AA64" s="48"/>
      <c r="AB64" s="50">
        <f>IF($AA64="d",$B$5+1,1+SUMPRODUCT(($E$9:$E$153=$E64)*($Z$9:$Z$153&gt;$Z64)))</f>
        <v>4</v>
      </c>
      <c r="AC64" s="49" t="str">
        <f t="shared" si="45"/>
        <v/>
      </c>
      <c r="AD64">
        <f>COUNTIF($E$9:$E64,$E64)</f>
        <v>3</v>
      </c>
      <c r="AE64" s="35">
        <f>SUMIF($E$9:$E$115,$E64,$AC$9:$AC$115)</f>
        <v>2836</v>
      </c>
      <c r="AF64" s="35">
        <f>IF($AD64&gt;1,0,SUMIF($E$9:$E$115,$E64,$AC$9:$AC$115))</f>
        <v>0</v>
      </c>
      <c r="AG64" s="11">
        <f>IF(Z64=0,"",1+COUNTIFS($C$9:$C$115,$C64,$Z$9:$Z$115,"&gt;"&amp;$Z64))</f>
        <v>4</v>
      </c>
      <c r="AH64" t="str">
        <f t="shared" si="33"/>
        <v>Andy Rimes- QO- M55</v>
      </c>
      <c r="AI64" s="22" t="str">
        <f t="shared" si="46"/>
        <v/>
      </c>
    </row>
    <row r="65" spans="1:35" ht="14.25" customHeight="1" x14ac:dyDescent="0.25">
      <c r="A65" s="79" t="s">
        <v>195</v>
      </c>
      <c r="B65" t="s">
        <v>99</v>
      </c>
      <c r="C65" s="81" t="str">
        <f t="shared" si="14"/>
        <v>Wellington Short</v>
      </c>
      <c r="D65" t="s">
        <v>146</v>
      </c>
      <c r="E65" s="81" t="str">
        <f t="shared" si="0"/>
        <v>Ray Toomer Short</v>
      </c>
      <c r="F65" t="s">
        <v>103</v>
      </c>
      <c r="G65">
        <v>50</v>
      </c>
      <c r="H65">
        <v>4</v>
      </c>
      <c r="I65" s="30">
        <f t="shared" si="7"/>
        <v>3.4768518518518525E-2</v>
      </c>
      <c r="J65" s="7">
        <f t="shared" si="47"/>
        <v>3.4768518518518525E-2</v>
      </c>
      <c r="K65" s="7">
        <f t="shared" si="48"/>
        <v>1</v>
      </c>
      <c r="L65" s="10">
        <f t="shared" si="49"/>
        <v>50.06666666666667</v>
      </c>
      <c r="N65" s="6" t="s">
        <v>32</v>
      </c>
      <c r="O65" s="43">
        <v>940</v>
      </c>
      <c r="P65" s="44">
        <v>30</v>
      </c>
      <c r="Q65" s="45">
        <f t="shared" si="52"/>
        <v>910</v>
      </c>
      <c r="R65" s="45">
        <f>IF(VLOOKUP($A65,events!$B$4:$C$8,2,0)=$Q65,ROUNDDOWN(50-$L65,0),0)</f>
        <v>0</v>
      </c>
      <c r="S65" s="44">
        <f t="shared" si="43"/>
        <v>0</v>
      </c>
      <c r="T65" s="46">
        <f t="shared" si="53"/>
        <v>910</v>
      </c>
      <c r="U65" s="47">
        <f>ROUND($T65*1000/_xlfn.AGGREGATE(14,6,$T$9:$T$115/($C$9:$C$115=$C65),1),0)</f>
        <v>978</v>
      </c>
      <c r="V65" s="47">
        <f>1+COUNTIFS($C$9:$C$115,$C65,$U$9:$U$115,"&gt;"&amp;$U65)</f>
        <v>2</v>
      </c>
      <c r="W65" s="45">
        <f t="shared" si="44"/>
        <v>0.7</v>
      </c>
      <c r="X65" s="46">
        <f t="shared" si="54"/>
        <v>1300</v>
      </c>
      <c r="Y65" s="48"/>
      <c r="Z65" s="59">
        <f>ROUND($X65*1000/_xlfn.AGGREGATE(14,6,$X$9:$X$115/($C$9:$C$115=$C65),1),0)+Y65</f>
        <v>1000</v>
      </c>
      <c r="AA65" s="48"/>
      <c r="AB65" s="50">
        <f>IF($AA65="d",$B$5+1,1+SUMPRODUCT(($E$9:$E$153=$E65)*($Z$9:$Z$153&gt;$Z65)))</f>
        <v>1</v>
      </c>
      <c r="AC65" s="49">
        <f t="shared" si="45"/>
        <v>1000</v>
      </c>
      <c r="AD65">
        <f>COUNTIF($E$9:$E65,$E65)</f>
        <v>3</v>
      </c>
      <c r="AE65" s="35">
        <f>SUMIF($E$9:$E$115,$E65,$AC$9:$AC$115)</f>
        <v>3000</v>
      </c>
      <c r="AF65" s="35">
        <f>IF($AD65&gt;1,0,SUMIF($E$9:$E$115,$E65,$AC$9:$AC$115))</f>
        <v>0</v>
      </c>
      <c r="AG65" s="11">
        <f>IF(Z65=0,"",1+COUNTIFS($C$9:$C$115,$C65,$Z$9:$Z$115,"&gt;"&amp;$Z65))</f>
        <v>1</v>
      </c>
      <c r="AH65" t="str">
        <f t="shared" si="33"/>
        <v>Ray Toomer- QO- M65</v>
      </c>
      <c r="AI65" s="22">
        <f t="shared" si="46"/>
        <v>1000</v>
      </c>
    </row>
    <row r="66" spans="1:35" ht="14.25" customHeight="1" x14ac:dyDescent="0.25">
      <c r="A66" s="79" t="s">
        <v>195</v>
      </c>
      <c r="B66" t="s">
        <v>99</v>
      </c>
      <c r="C66" s="81" t="str">
        <f t="shared" si="14"/>
        <v>Wellington Short</v>
      </c>
      <c r="D66" t="s">
        <v>204</v>
      </c>
      <c r="E66" s="81" t="str">
        <f t="shared" si="0"/>
        <v>Steve Robertson Short</v>
      </c>
      <c r="F66" t="s">
        <v>103</v>
      </c>
      <c r="G66">
        <v>50</v>
      </c>
      <c r="H66">
        <v>38</v>
      </c>
      <c r="I66" s="30">
        <f t="shared" si="7"/>
        <v>3.516203703703704E-2</v>
      </c>
      <c r="J66" s="7">
        <f t="shared" si="47"/>
        <v>3.516203703703704E-2</v>
      </c>
      <c r="K66" s="7">
        <f t="shared" si="48"/>
        <v>1</v>
      </c>
      <c r="L66" s="10">
        <f t="shared" si="49"/>
        <v>50.633333333333333</v>
      </c>
      <c r="N66" s="6" t="s">
        <v>32</v>
      </c>
      <c r="O66" s="43">
        <v>930</v>
      </c>
      <c r="P66" s="44">
        <v>30</v>
      </c>
      <c r="Q66" s="45">
        <f t="shared" si="52"/>
        <v>900</v>
      </c>
      <c r="R66" s="45">
        <f>IF(VLOOKUP($A66,events!$B$4:$C$8,2,0)=$Q66,ROUNDDOWN(50-$L66,0),0)</f>
        <v>0</v>
      </c>
      <c r="S66" s="44">
        <f t="shared" si="43"/>
        <v>0</v>
      </c>
      <c r="T66" s="46">
        <f t="shared" si="53"/>
        <v>900</v>
      </c>
      <c r="U66" s="47">
        <f>ROUND($T66*1000/_xlfn.AGGREGATE(14,6,$T$9:$T$115/($C$9:$C$115=$C66),1),0)</f>
        <v>968</v>
      </c>
      <c r="V66" s="47">
        <f>1+COUNTIFS($C$9:$C$115,$C66,$U$9:$U$115,"&gt;"&amp;$U66)</f>
        <v>3</v>
      </c>
      <c r="W66" s="45">
        <f t="shared" si="44"/>
        <v>0.7</v>
      </c>
      <c r="X66" s="46">
        <f t="shared" si="54"/>
        <v>1286</v>
      </c>
      <c r="Y66" s="48"/>
      <c r="Z66" s="59">
        <f>ROUND($X66*1000/_xlfn.AGGREGATE(14,6,$X$9:$X$115/($C$9:$C$115=$C66),1),0)+Y66</f>
        <v>989</v>
      </c>
      <c r="AA66" s="48"/>
      <c r="AB66" s="50">
        <f>IF($AA66="d",$B$5+1,1+SUMPRODUCT(($E$9:$E$153=$E66)*($Z$9:$Z$153&gt;$Z66)))</f>
        <v>2</v>
      </c>
      <c r="AC66" s="49">
        <f t="shared" si="45"/>
        <v>989</v>
      </c>
      <c r="AD66">
        <f>COUNTIF($E$9:$E66,$E66)</f>
        <v>1</v>
      </c>
      <c r="AE66" s="35">
        <f>SUMIF($E$9:$E$115,$E66,$AC$9:$AC$115)</f>
        <v>1989</v>
      </c>
      <c r="AF66" s="35">
        <f>IF($AD66&gt;1,0,SUMIF($E$9:$E$115,$E66,$AC$9:$AC$115))</f>
        <v>1989</v>
      </c>
      <c r="AG66" s="11">
        <f>IF(Z66=0,"",1+COUNTIFS($C$9:$C$115,$C66,$Z$9:$Z$115,"&gt;"&amp;$Z66))</f>
        <v>2</v>
      </c>
      <c r="AH66" t="str">
        <f t="shared" si="33"/>
        <v>Steve Robertson- QO- M65</v>
      </c>
      <c r="AI66" s="22">
        <f t="shared" si="46"/>
        <v>989</v>
      </c>
    </row>
    <row r="67" spans="1:35" ht="14.25" customHeight="1" x14ac:dyDescent="0.25">
      <c r="A67" s="79" t="s">
        <v>195</v>
      </c>
      <c r="B67" t="s">
        <v>99</v>
      </c>
      <c r="C67" s="81" t="str">
        <f t="shared" si="14"/>
        <v>Wellington Short</v>
      </c>
      <c r="D67" t="s">
        <v>188</v>
      </c>
      <c r="E67" s="81" t="str">
        <f t="shared" si="0"/>
        <v>Alasdair Shaw Short</v>
      </c>
      <c r="F67" t="s">
        <v>103</v>
      </c>
      <c r="G67">
        <v>49</v>
      </c>
      <c r="H67">
        <v>30</v>
      </c>
      <c r="I67" s="30">
        <f t="shared" si="7"/>
        <v>3.4374999999999996E-2</v>
      </c>
      <c r="J67" s="7">
        <f t="shared" si="47"/>
        <v>3.4374999999999996E-2</v>
      </c>
      <c r="K67" s="7">
        <f t="shared" si="48"/>
        <v>1</v>
      </c>
      <c r="L67" s="10">
        <f t="shared" si="49"/>
        <v>49.5</v>
      </c>
      <c r="N67" s="6" t="s">
        <v>22</v>
      </c>
      <c r="O67" s="43">
        <v>880</v>
      </c>
      <c r="P67" s="44">
        <v>0</v>
      </c>
      <c r="Q67" s="45">
        <f t="shared" si="52"/>
        <v>880</v>
      </c>
      <c r="R67" s="45">
        <f>IF(VLOOKUP($A67,events!$B$4:$C$8,2,0)=$Q67,ROUNDDOWN(50-$L67,0),0)</f>
        <v>0</v>
      </c>
      <c r="S67" s="44">
        <f t="shared" si="43"/>
        <v>0</v>
      </c>
      <c r="T67" s="46">
        <f t="shared" si="53"/>
        <v>880</v>
      </c>
      <c r="U67" s="47">
        <f>ROUND($T67*1000/_xlfn.AGGREGATE(14,6,$T$9:$T$115/($C$9:$C$115=$C67),1),0)</f>
        <v>946</v>
      </c>
      <c r="V67" s="47">
        <f>1+COUNTIFS($C$9:$C$115,$C67,$U$9:$U$115,"&gt;"&amp;$U67)</f>
        <v>4</v>
      </c>
      <c r="W67" s="45">
        <f t="shared" si="44"/>
        <v>0.93</v>
      </c>
      <c r="X67" s="46">
        <f t="shared" si="54"/>
        <v>946</v>
      </c>
      <c r="Y67" s="48"/>
      <c r="Z67" s="59">
        <f>ROUND($X67*1000/_xlfn.AGGREGATE(14,6,$X$9:$X$115/($C$9:$C$115=$C67),1),0)+Y67</f>
        <v>728</v>
      </c>
      <c r="AA67" s="48"/>
      <c r="AB67" s="50">
        <f>IF($AA67="d",$B$5+1,1+SUMPRODUCT(($E$9:$E$153=$E67)*($Z$9:$Z$153&gt;$Z67)))</f>
        <v>4</v>
      </c>
      <c r="AC67" s="49" t="str">
        <f t="shared" si="45"/>
        <v/>
      </c>
      <c r="AD67">
        <f>COUNTIF($E$9:$E67,$E67)</f>
        <v>3</v>
      </c>
      <c r="AE67" s="35">
        <f>SUMIF($E$9:$E$115,$E67,$AC$9:$AC$115)</f>
        <v>2495</v>
      </c>
      <c r="AF67" s="35">
        <f>IF($AD67&gt;1,0,SUMIF($E$9:$E$115,$E67,$AC$9:$AC$115))</f>
        <v>0</v>
      </c>
      <c r="AG67" s="11">
        <f>IF(Z67=0,"",1+COUNTIFS($C$9:$C$115,$C67,$Z$9:$Z$115,"&gt;"&amp;$Z67))</f>
        <v>6</v>
      </c>
      <c r="AH67" t="str">
        <f t="shared" si="33"/>
        <v>Alasdair Shaw- QO- M40</v>
      </c>
      <c r="AI67" s="22" t="str">
        <f t="shared" si="46"/>
        <v/>
      </c>
    </row>
    <row r="68" spans="1:35" ht="14.25" customHeight="1" x14ac:dyDescent="0.25">
      <c r="A68" s="79" t="s">
        <v>195</v>
      </c>
      <c r="B68" t="s">
        <v>99</v>
      </c>
      <c r="C68" s="81" t="str">
        <f t="shared" si="14"/>
        <v>Wellington Short</v>
      </c>
      <c r="D68" t="s">
        <v>205</v>
      </c>
      <c r="E68" s="81" t="str">
        <f t="shared" si="0"/>
        <v>Vikki Page Short</v>
      </c>
      <c r="F68" t="s">
        <v>103</v>
      </c>
      <c r="G68">
        <v>50</v>
      </c>
      <c r="H68">
        <v>1</v>
      </c>
      <c r="I68" s="30">
        <f t="shared" si="7"/>
        <v>3.4733796296296297E-2</v>
      </c>
      <c r="J68" s="7">
        <f t="shared" si="47"/>
        <v>3.4733796296296297E-2</v>
      </c>
      <c r="K68" s="7">
        <f t="shared" si="48"/>
        <v>1</v>
      </c>
      <c r="L68" s="10">
        <f t="shared" si="49"/>
        <v>50.016666666666666</v>
      </c>
      <c r="N68" s="6" t="s">
        <v>25</v>
      </c>
      <c r="O68" s="43">
        <v>820</v>
      </c>
      <c r="P68" s="44">
        <v>30</v>
      </c>
      <c r="Q68" s="45">
        <f t="shared" si="52"/>
        <v>790</v>
      </c>
      <c r="R68" s="45">
        <f>IF(VLOOKUP($A68,events!$B$4:$C$8,2,0)=$Q68,ROUNDDOWN(50-$L68,0),0)</f>
        <v>0</v>
      </c>
      <c r="S68" s="44">
        <f t="shared" si="43"/>
        <v>0</v>
      </c>
      <c r="T68" s="46">
        <f t="shared" si="53"/>
        <v>790</v>
      </c>
      <c r="U68" s="47">
        <f>ROUND($T68*1000/_xlfn.AGGREGATE(14,6,$T$9:$T$115/($C$9:$C$115=$C68),1),0)</f>
        <v>849</v>
      </c>
      <c r="V68" s="47">
        <f>1+COUNTIFS($C$9:$C$115,$C68,$U$9:$U$115,"&gt;"&amp;$U68)</f>
        <v>5</v>
      </c>
      <c r="W68" s="45">
        <f t="shared" si="44"/>
        <v>0.79</v>
      </c>
      <c r="X68" s="46">
        <f t="shared" si="54"/>
        <v>1000</v>
      </c>
      <c r="Y68" s="48"/>
      <c r="Z68" s="59">
        <f>ROUND($X68*1000/_xlfn.AGGREGATE(14,6,$X$9:$X$115/($C$9:$C$115=$C68),1),0)+Y68</f>
        <v>769</v>
      </c>
      <c r="AA68" s="48"/>
      <c r="AB68" s="50">
        <f>IF($AA68="d",$B$5+1,1+SUMPRODUCT(($E$9:$E$153=$E68)*($Z$9:$Z$153&gt;$Z68)))</f>
        <v>2</v>
      </c>
      <c r="AC68" s="49">
        <f t="shared" si="45"/>
        <v>769</v>
      </c>
      <c r="AD68">
        <f>COUNTIF($E$9:$E68,$E68)</f>
        <v>1</v>
      </c>
      <c r="AE68" s="35">
        <f>SUMIF($E$9:$E$115,$E68,$AC$9:$AC$115)</f>
        <v>2035</v>
      </c>
      <c r="AF68" s="35">
        <f>IF($AD68&gt;1,0,SUMIF($E$9:$E$115,$E68,$AC$9:$AC$115))</f>
        <v>2035</v>
      </c>
      <c r="AG68" s="11">
        <f>IF(Z68=0,"",1+COUNTIFS($C$9:$C$115,$C68,$Z$9:$Z$115,"&gt;"&amp;$Z68))</f>
        <v>5</v>
      </c>
      <c r="AH68" t="str">
        <f t="shared" si="33"/>
        <v>Vikki Page- QO- W45</v>
      </c>
      <c r="AI68" s="22">
        <f t="shared" si="46"/>
        <v>769</v>
      </c>
    </row>
    <row r="69" spans="1:35" ht="14.25" customHeight="1" x14ac:dyDescent="0.25">
      <c r="A69" s="79" t="s">
        <v>195</v>
      </c>
      <c r="B69" t="s">
        <v>99</v>
      </c>
      <c r="C69" s="81" t="str">
        <f t="shared" si="14"/>
        <v>Wellington Short</v>
      </c>
      <c r="D69" t="s">
        <v>150</v>
      </c>
      <c r="E69" s="81" t="str">
        <f t="shared" si="0"/>
        <v>Rosie Wych Short</v>
      </c>
      <c r="F69" t="s">
        <v>103</v>
      </c>
      <c r="G69">
        <v>51</v>
      </c>
      <c r="H69">
        <v>56</v>
      </c>
      <c r="I69" s="30">
        <f t="shared" si="7"/>
        <v>3.6064814814814813E-2</v>
      </c>
      <c r="J69" s="7">
        <f t="shared" si="47"/>
        <v>3.6064814814814813E-2</v>
      </c>
      <c r="K69" s="7">
        <f t="shared" si="48"/>
        <v>1</v>
      </c>
      <c r="L69" s="10">
        <f t="shared" si="49"/>
        <v>51.93333333333333</v>
      </c>
      <c r="N69" s="6" t="s">
        <v>33</v>
      </c>
      <c r="O69" s="43">
        <v>830</v>
      </c>
      <c r="P69" s="44">
        <v>60</v>
      </c>
      <c r="Q69" s="45">
        <f t="shared" si="52"/>
        <v>770</v>
      </c>
      <c r="R69" s="45">
        <f>IF(VLOOKUP($A69,events!$B$4:$C$8,2,0)=$Q69,ROUNDDOWN(50-$L69,0),0)</f>
        <v>0</v>
      </c>
      <c r="S69" s="44">
        <f t="shared" si="43"/>
        <v>0</v>
      </c>
      <c r="T69" s="46">
        <f t="shared" si="53"/>
        <v>770</v>
      </c>
      <c r="U69" s="47">
        <f>ROUND($T69*1000/_xlfn.AGGREGATE(14,6,$T$9:$T$115/($C$9:$C$115=$C69),1),0)</f>
        <v>828</v>
      </c>
      <c r="V69" s="47">
        <f>1+COUNTIFS($C$9:$C$115,$C69,$U$9:$U$115,"&gt;"&amp;$U69)</f>
        <v>6</v>
      </c>
      <c r="W69" s="45">
        <f t="shared" si="44"/>
        <v>0.61</v>
      </c>
      <c r="X69" s="46">
        <f t="shared" si="54"/>
        <v>1262</v>
      </c>
      <c r="Y69" s="48"/>
      <c r="Z69" s="59">
        <f>ROUND($X69*1000/_xlfn.AGGREGATE(14,6,$X$9:$X$115/($C$9:$C$115=$C69),1),0)+Y69</f>
        <v>971</v>
      </c>
      <c r="AA69" s="48"/>
      <c r="AB69" s="50">
        <f>IF($AA69="d",$B$5+1,1+SUMPRODUCT(($E$9:$E$153=$E69)*($Z$9:$Z$153&gt;$Z69)))</f>
        <v>2</v>
      </c>
      <c r="AC69" s="49">
        <f t="shared" si="45"/>
        <v>971</v>
      </c>
      <c r="AD69">
        <f>COUNTIF($E$9:$E69,$E69)</f>
        <v>2</v>
      </c>
      <c r="AE69" s="35">
        <f>SUMIF($E$9:$E$115,$E69,$AC$9:$AC$115)</f>
        <v>2923</v>
      </c>
      <c r="AF69" s="35">
        <f>IF($AD69&gt;1,0,SUMIF($E$9:$E$115,$E69,$AC$9:$AC$115))</f>
        <v>0</v>
      </c>
      <c r="AG69" s="11">
        <f>IF(Z69=0,"",1+COUNTIFS($C$9:$C$115,$C69,$Z$9:$Z$115,"&gt;"&amp;$Z69))</f>
        <v>3</v>
      </c>
      <c r="AH69" t="str">
        <f t="shared" si="33"/>
        <v>Rosie Wych- QO- W65</v>
      </c>
      <c r="AI69" s="22">
        <f t="shared" si="46"/>
        <v>971</v>
      </c>
    </row>
    <row r="70" spans="1:35" ht="14.25" customHeight="1" x14ac:dyDescent="0.25">
      <c r="A70" s="79" t="s">
        <v>195</v>
      </c>
      <c r="B70" t="s">
        <v>99</v>
      </c>
      <c r="C70" s="81" t="str">
        <f t="shared" si="14"/>
        <v>Wellington Short</v>
      </c>
      <c r="D70" t="s">
        <v>160</v>
      </c>
      <c r="E70" s="81" t="str">
        <f t="shared" si="0"/>
        <v>Sarah Hasler Short</v>
      </c>
      <c r="F70" t="s">
        <v>103</v>
      </c>
      <c r="G70">
        <v>50</v>
      </c>
      <c r="H70">
        <v>4</v>
      </c>
      <c r="I70" s="30">
        <f t="shared" si="7"/>
        <v>3.4768518518518525E-2</v>
      </c>
      <c r="J70" s="7">
        <f t="shared" si="47"/>
        <v>3.4768518518518525E-2</v>
      </c>
      <c r="K70" s="7">
        <f t="shared" si="48"/>
        <v>1</v>
      </c>
      <c r="L70" s="10">
        <f t="shared" si="49"/>
        <v>50.06666666666667</v>
      </c>
      <c r="N70" s="6" t="s">
        <v>29</v>
      </c>
      <c r="O70" s="43">
        <v>570</v>
      </c>
      <c r="P70" s="44">
        <v>30</v>
      </c>
      <c r="Q70" s="45">
        <f t="shared" si="52"/>
        <v>540</v>
      </c>
      <c r="R70" s="45">
        <f>IF(VLOOKUP($A70,events!$B$4:$C$8,2,0)=$Q70,ROUNDDOWN(50-$L70,0),0)</f>
        <v>0</v>
      </c>
      <c r="S70" s="44">
        <f t="shared" si="43"/>
        <v>0</v>
      </c>
      <c r="T70" s="46">
        <f t="shared" si="53"/>
        <v>540</v>
      </c>
      <c r="U70" s="47">
        <f>ROUND($T70*1000/_xlfn.AGGREGATE(14,6,$T$9:$T$115/($C$9:$C$115=$C70),1),0)</f>
        <v>581</v>
      </c>
      <c r="V70" s="47">
        <f>1+COUNTIFS($C$9:$C$115,$C70,$U$9:$U$115,"&gt;"&amp;$U70)</f>
        <v>7</v>
      </c>
      <c r="W70" s="45">
        <f t="shared" si="44"/>
        <v>0.7</v>
      </c>
      <c r="X70" s="46">
        <f t="shared" si="54"/>
        <v>771</v>
      </c>
      <c r="Y70" s="48"/>
      <c r="Z70" s="59">
        <f>ROUND($X70*1000/_xlfn.AGGREGATE(14,6,$X$9:$X$115/($C$9:$C$115=$C70),1),0)+Y70</f>
        <v>593</v>
      </c>
      <c r="AA70" s="48"/>
      <c r="AB70" s="50">
        <f>IF($AA70="d",$B$5+1,1+SUMPRODUCT(($E$9:$E$153=$E70)*($Z$9:$Z$153&gt;$Z70)))</f>
        <v>2</v>
      </c>
      <c r="AC70" s="49">
        <f t="shared" si="45"/>
        <v>593</v>
      </c>
      <c r="AD70">
        <f>COUNTIF($E$9:$E70,$E70)</f>
        <v>3</v>
      </c>
      <c r="AE70" s="35">
        <f>SUMIF($E$9:$E$115,$E70,$AC$9:$AC$115)</f>
        <v>1850</v>
      </c>
      <c r="AF70" s="35">
        <f>IF($AD70&gt;1,0,SUMIF($E$9:$E$115,$E70,$AC$9:$AC$115))</f>
        <v>0</v>
      </c>
      <c r="AG70" s="11">
        <f>IF(Z70=0,"",1+COUNTIFS($C$9:$C$115,$C70,$Z$9:$Z$115,"&gt;"&amp;$Z70))</f>
        <v>8</v>
      </c>
      <c r="AH70" t="str">
        <f t="shared" si="33"/>
        <v>Sarah Hasler- QO- W55</v>
      </c>
      <c r="AI70" s="22">
        <f t="shared" si="46"/>
        <v>593</v>
      </c>
    </row>
    <row r="71" spans="1:35" ht="14.25" customHeight="1" x14ac:dyDescent="0.25">
      <c r="A71" s="79" t="s">
        <v>195</v>
      </c>
      <c r="B71" t="s">
        <v>99</v>
      </c>
      <c r="C71" s="81" t="str">
        <f t="shared" si="14"/>
        <v>Wellington Short</v>
      </c>
      <c r="D71" t="s">
        <v>206</v>
      </c>
      <c r="E71" s="81" t="str">
        <f t="shared" si="0"/>
        <v>John Trayler Short</v>
      </c>
      <c r="F71" t="s">
        <v>103</v>
      </c>
      <c r="G71">
        <v>52</v>
      </c>
      <c r="H71">
        <v>10</v>
      </c>
      <c r="I71" s="30">
        <f t="shared" si="7"/>
        <v>3.622685185185185E-2</v>
      </c>
      <c r="J71" s="7">
        <f t="shared" si="47"/>
        <v>3.622685185185185E-2</v>
      </c>
      <c r="K71" s="7">
        <f t="shared" si="48"/>
        <v>1</v>
      </c>
      <c r="L71" s="10">
        <f t="shared" si="49"/>
        <v>52.166666666666671</v>
      </c>
      <c r="N71" s="6" t="s">
        <v>36</v>
      </c>
      <c r="O71" s="43">
        <v>550</v>
      </c>
      <c r="P71" s="44">
        <v>90</v>
      </c>
      <c r="Q71" s="45">
        <f t="shared" si="52"/>
        <v>460</v>
      </c>
      <c r="R71" s="45">
        <f>IF(VLOOKUP($A71,events!$B$4:$C$8,2,0)=$Q71,ROUNDDOWN(50-$L71,0),0)</f>
        <v>0</v>
      </c>
      <c r="S71" s="44">
        <f t="shared" si="43"/>
        <v>0</v>
      </c>
      <c r="T71" s="46">
        <f t="shared" si="53"/>
        <v>460</v>
      </c>
      <c r="U71" s="47">
        <f>ROUND($T71*1000/_xlfn.AGGREGATE(14,6,$T$9:$T$115/($C$9:$C$115=$C71),1),0)</f>
        <v>495</v>
      </c>
      <c r="V71" s="47">
        <f>1+COUNTIFS($C$9:$C$115,$C71,$U$9:$U$115,"&gt;"&amp;$U71)</f>
        <v>8</v>
      </c>
      <c r="W71" s="45">
        <f t="shared" si="44"/>
        <v>0.6</v>
      </c>
      <c r="X71" s="46">
        <f t="shared" si="54"/>
        <v>767</v>
      </c>
      <c r="Y71" s="48"/>
      <c r="Z71" s="59">
        <f>ROUND($X71*1000/_xlfn.AGGREGATE(14,6,$X$9:$X$115/($C$9:$C$115=$C71),1),0)+Y71</f>
        <v>590</v>
      </c>
      <c r="AA71" s="48"/>
      <c r="AB71" s="50">
        <f>IF($AA71="d",$B$5+1,1+SUMPRODUCT(($E$9:$E$153=$E71)*($Z$9:$Z$153&gt;$Z71)))</f>
        <v>2</v>
      </c>
      <c r="AC71" s="49">
        <f t="shared" si="45"/>
        <v>590</v>
      </c>
      <c r="AD71">
        <f>COUNTIF($E$9:$E71,$E71)</f>
        <v>1</v>
      </c>
      <c r="AE71" s="35">
        <f>SUMIF($E$9:$E$115,$E71,$AC$9:$AC$115)</f>
        <v>1775</v>
      </c>
      <c r="AF71" s="35">
        <f>IF($AD71&gt;1,0,SUMIF($E$9:$E$115,$E71,$AC$9:$AC$115))</f>
        <v>1775</v>
      </c>
      <c r="AG71" s="11">
        <f>IF(Z71=0,"",1+COUNTIFS($C$9:$C$115,$C71,$Z$9:$Z$115,"&gt;"&amp;$Z71))</f>
        <v>9</v>
      </c>
      <c r="AH71" t="str">
        <f t="shared" si="33"/>
        <v>John Trayler- QO- M75</v>
      </c>
      <c r="AI71" s="22">
        <f t="shared" si="46"/>
        <v>590</v>
      </c>
    </row>
    <row r="72" spans="1:35" ht="14.25" customHeight="1" x14ac:dyDescent="0.25">
      <c r="A72" s="79" t="s">
        <v>195</v>
      </c>
      <c r="B72" t="s">
        <v>99</v>
      </c>
      <c r="C72" s="81" t="str">
        <f t="shared" si="14"/>
        <v>Wellington Short</v>
      </c>
      <c r="D72" t="s">
        <v>190</v>
      </c>
      <c r="E72" s="81" t="str">
        <f t="shared" si="0"/>
        <v>Roger Craddock Short</v>
      </c>
      <c r="F72" t="s">
        <v>103</v>
      </c>
      <c r="G72">
        <v>51</v>
      </c>
      <c r="H72">
        <v>12</v>
      </c>
      <c r="I72" s="30">
        <f t="shared" si="7"/>
        <v>3.5555555555555556E-2</v>
      </c>
      <c r="J72" s="7">
        <f t="shared" si="47"/>
        <v>3.5555555555555556E-2</v>
      </c>
      <c r="K72" s="7">
        <f t="shared" si="48"/>
        <v>1</v>
      </c>
      <c r="L72" s="10">
        <f t="shared" si="49"/>
        <v>51.199999999999996</v>
      </c>
      <c r="N72" s="6" t="s">
        <v>39</v>
      </c>
      <c r="O72" s="43">
        <v>510</v>
      </c>
      <c r="P72" s="44">
        <v>60</v>
      </c>
      <c r="Q72" s="45">
        <f t="shared" si="52"/>
        <v>450</v>
      </c>
      <c r="R72" s="45">
        <f>IF(VLOOKUP($A72,events!$B$4:$C$8,2,0)=$Q72,ROUNDDOWN(50-$L72,0),0)</f>
        <v>0</v>
      </c>
      <c r="S72" s="44">
        <f t="shared" si="43"/>
        <v>0</v>
      </c>
      <c r="T72" s="46">
        <f t="shared" si="53"/>
        <v>450</v>
      </c>
      <c r="U72" s="47">
        <f>ROUND($T72*1000/_xlfn.AGGREGATE(14,6,$T$9:$T$115/($C$9:$C$115=$C72),1),0)</f>
        <v>484</v>
      </c>
      <c r="V72" s="47">
        <f>1+COUNTIFS($C$9:$C$115,$C72,$U$9:$U$115,"&gt;"&amp;$U72)</f>
        <v>9</v>
      </c>
      <c r="W72" s="45">
        <f t="shared" si="44"/>
        <v>0.55000000000000004</v>
      </c>
      <c r="X72" s="46">
        <f t="shared" si="54"/>
        <v>818</v>
      </c>
      <c r="Y72" s="48"/>
      <c r="Z72" s="59">
        <f>ROUND($X72*1000/_xlfn.AGGREGATE(14,6,$X$9:$X$115/($C$9:$C$115=$C72),1),0)+Y72</f>
        <v>629</v>
      </c>
      <c r="AA72" s="48"/>
      <c r="AB72" s="50">
        <f>IF($AA72="d",$B$5+1,1+SUMPRODUCT(($E$9:$E$153=$E72)*($Z$9:$Z$153&gt;$Z72)))</f>
        <v>4</v>
      </c>
      <c r="AC72" s="49" t="str">
        <f t="shared" si="45"/>
        <v/>
      </c>
      <c r="AD72">
        <f>COUNTIF($E$9:$E72,$E72)</f>
        <v>2</v>
      </c>
      <c r="AE72" s="35">
        <f>SUMIF($E$9:$E$115,$E72,$AC$9:$AC$115)</f>
        <v>2260</v>
      </c>
      <c r="AF72" s="35">
        <f>IF($AD72&gt;1,0,SUMIF($E$9:$E$115,$E72,$AC$9:$AC$115))</f>
        <v>0</v>
      </c>
      <c r="AG72" s="11">
        <f>IF(Z72=0,"",1+COUNTIFS($C$9:$C$115,$C72,$Z$9:$Z$115,"&gt;"&amp;$Z72))</f>
        <v>7</v>
      </c>
      <c r="AH72" t="str">
        <f t="shared" si="33"/>
        <v>Roger Craddock- QO- M80</v>
      </c>
      <c r="AI72" s="22" t="str">
        <f t="shared" si="46"/>
        <v/>
      </c>
    </row>
    <row r="73" spans="1:35" ht="14.25" customHeight="1" x14ac:dyDescent="0.25">
      <c r="A73" s="79" t="s">
        <v>195</v>
      </c>
      <c r="B73" t="s">
        <v>99</v>
      </c>
      <c r="C73" s="81" t="str">
        <f t="shared" si="14"/>
        <v>Wellington Short</v>
      </c>
      <c r="D73" t="s">
        <v>207</v>
      </c>
      <c r="E73" s="81" t="str">
        <f t="shared" si="0"/>
        <v>Sarah Rimes Short</v>
      </c>
      <c r="F73" t="s">
        <v>169</v>
      </c>
      <c r="G73">
        <v>50</v>
      </c>
      <c r="H73">
        <v>50</v>
      </c>
      <c r="I73" s="30">
        <f t="shared" si="7"/>
        <v>3.5300925925925923E-2</v>
      </c>
      <c r="J73" s="7">
        <f t="shared" si="47"/>
        <v>3.5300925925925923E-2</v>
      </c>
      <c r="K73" s="7">
        <f t="shared" si="48"/>
        <v>1</v>
      </c>
      <c r="L73" s="10">
        <f t="shared" si="49"/>
        <v>50.833333333333329</v>
      </c>
      <c r="N73" s="6" t="s">
        <v>119</v>
      </c>
      <c r="O73" s="43">
        <v>470</v>
      </c>
      <c r="P73" s="44">
        <v>30</v>
      </c>
      <c r="Q73" s="45">
        <f t="shared" si="52"/>
        <v>440</v>
      </c>
      <c r="R73" s="45">
        <f>IF(VLOOKUP($A73,events!$B$4:$C$8,2,0)=$Q73,ROUNDDOWN(50-$L73,0),0)</f>
        <v>0</v>
      </c>
      <c r="S73" s="44">
        <f t="shared" si="43"/>
        <v>0</v>
      </c>
      <c r="T73" s="46">
        <f t="shared" si="53"/>
        <v>440</v>
      </c>
      <c r="U73" s="47">
        <f>ROUND($T73*1000/_xlfn.AGGREGATE(14,6,$T$9:$T$115/($C$9:$C$115=$C73),1),0)</f>
        <v>473</v>
      </c>
      <c r="V73" s="47">
        <f>1+COUNTIFS($C$9:$C$115,$C73,$U$9:$U$115,"&gt;"&amp;$U73)</f>
        <v>10</v>
      </c>
      <c r="W73" s="45">
        <f t="shared" si="44"/>
        <v>0.87</v>
      </c>
      <c r="X73" s="46">
        <f t="shared" si="54"/>
        <v>506</v>
      </c>
      <c r="Y73" s="48"/>
      <c r="Z73" s="59">
        <f>ROUND($X73*1000/_xlfn.AGGREGATE(14,6,$X$9:$X$115/($C$9:$C$115=$C73),1),0)+Y73</f>
        <v>389</v>
      </c>
      <c r="AA73" s="48"/>
      <c r="AB73" s="50">
        <f>IF($AA73="d",$B$5+1,1+SUMPRODUCT(($E$9:$E$153=$E73)*($Z$9:$Z$153&gt;$Z73)))</f>
        <v>2</v>
      </c>
      <c r="AC73" s="49" t="str">
        <f t="shared" si="45"/>
        <v/>
      </c>
      <c r="AD73">
        <f>COUNTIF($E$9:$E73,$E73)</f>
        <v>1</v>
      </c>
      <c r="AE73" s="35">
        <f>SUMIF($E$9:$E$115,$E73,$AC$9:$AC$115)</f>
        <v>0</v>
      </c>
      <c r="AF73" s="35">
        <f>IF($AD73&gt;1,0,SUMIF($E$9:$E$115,$E73,$AC$9:$AC$115))</f>
        <v>0</v>
      </c>
      <c r="AG73" s="11">
        <f>IF(Z73=0,"",1+COUNTIFS($C$9:$C$115,$C73,$Z$9:$Z$115,"&gt;"&amp;$Z73))</f>
        <v>10</v>
      </c>
      <c r="AH73" t="str">
        <f t="shared" si="33"/>
        <v>Sarah Rimes- Ind- W30</v>
      </c>
      <c r="AI73" s="22" t="str">
        <f t="shared" si="46"/>
        <v/>
      </c>
    </row>
    <row r="74" spans="1:35" x14ac:dyDescent="0.25">
      <c r="A74" s="79" t="s">
        <v>195</v>
      </c>
      <c r="B74" t="s">
        <v>99</v>
      </c>
      <c r="C74" s="81" t="str">
        <f t="shared" si="14"/>
        <v>Wellington Short</v>
      </c>
      <c r="D74" t="s">
        <v>208</v>
      </c>
      <c r="E74" s="81" t="str">
        <f t="shared" si="0"/>
        <v>Vicky Fieldhouse Short</v>
      </c>
      <c r="F74" t="s">
        <v>169</v>
      </c>
      <c r="G74">
        <v>62</v>
      </c>
      <c r="H74">
        <v>17</v>
      </c>
      <c r="I74" s="84">
        <f t="shared" ref="I74:I115" si="61">IFERROR(TIMEVALUE(CONCATENATE(0,":",G74,":",H74)),"")</f>
        <v>4.3252314814814813E-2</v>
      </c>
      <c r="J74" s="7">
        <f t="shared" ref="J74:J92" si="62">I74</f>
        <v>4.3252314814814813E-2</v>
      </c>
      <c r="K74" s="7">
        <f t="shared" ref="K74:K92" si="63">IF(I74&gt;0.4,1/60,1)</f>
        <v>1</v>
      </c>
      <c r="L74" s="10">
        <f t="shared" ref="L74:L92" si="64">I74*K74*24*60</f>
        <v>62.283333333333331</v>
      </c>
      <c r="N74" s="6" t="s">
        <v>29</v>
      </c>
      <c r="O74" s="43">
        <v>700</v>
      </c>
      <c r="P74" s="44">
        <v>390</v>
      </c>
      <c r="Q74" s="45">
        <f t="shared" ref="Q74:Q92" si="65">O74-P74</f>
        <v>310</v>
      </c>
      <c r="R74" s="45">
        <f>IF(VLOOKUP($A74,events!$B$4:$C$8,2,0)=$Q74,ROUNDDOWN(50-$L74,0),0)</f>
        <v>0</v>
      </c>
      <c r="S74" s="44">
        <f t="shared" si="43"/>
        <v>0</v>
      </c>
      <c r="T74" s="46">
        <f t="shared" ref="T74:T92" si="66">Q74+S74</f>
        <v>310</v>
      </c>
      <c r="U74" s="47">
        <f>ROUND($T74*1000/_xlfn.AGGREGATE(14,6,$T$9:$T$115/($C$9:$C$115=$C74),1),0)</f>
        <v>333</v>
      </c>
      <c r="V74" s="47">
        <f>1+COUNTIFS($C$9:$C$115,$C74,$U$9:$U$115,"&gt;"&amp;$U74)</f>
        <v>11</v>
      </c>
      <c r="W74" s="45">
        <f t="shared" si="44"/>
        <v>0.7</v>
      </c>
      <c r="X74" s="46">
        <f t="shared" ref="X74:X92" si="67">ROUND(T74/W74,0)</f>
        <v>443</v>
      </c>
      <c r="Y74" s="48"/>
      <c r="Z74" s="59">
        <f>ROUND($X74*1000/_xlfn.AGGREGATE(14,6,$X$9:$X$115/($C$9:$C$115=$C74),1),0)+Y74</f>
        <v>341</v>
      </c>
      <c r="AA74" s="48"/>
      <c r="AB74" s="50">
        <f>IF($AA74="d",$B$5+1,1+SUMPRODUCT(($E$9:$E$153=$E74)*($Z$9:$Z$153&gt;$Z74)))</f>
        <v>2</v>
      </c>
      <c r="AC74" s="49" t="str">
        <f t="shared" ref="AC74:AC92" si="68">IF(OR(F74="IND",$AB74&gt;$B$4),"",Z74)</f>
        <v/>
      </c>
      <c r="AD74">
        <f>COUNTIF($E$9:$E74,$E74)</f>
        <v>1</v>
      </c>
      <c r="AE74" s="35">
        <f>SUMIF($E$9:$E$115,$E74,$AC$9:$AC$115)</f>
        <v>0</v>
      </c>
      <c r="AF74" s="35">
        <f>IF($AD74&gt;1,0,SUMIF($E$9:$E$115,$E74,$AC$9:$AC$115))</f>
        <v>0</v>
      </c>
      <c r="AG74" s="11">
        <f>IF(Z74=0,"",1+COUNTIFS($C$9:$C$115,$C74,$Z$9:$Z$115,"&gt;"&amp;$Z74))</f>
        <v>11</v>
      </c>
      <c r="AH74" t="str">
        <f t="shared" si="33"/>
        <v>Vicky Fieldhouse- Ind- W55</v>
      </c>
      <c r="AI74" s="22" t="str">
        <f t="shared" si="46"/>
        <v/>
      </c>
    </row>
    <row r="75" spans="1:35" x14ac:dyDescent="0.25">
      <c r="A75" s="79" t="s">
        <v>209</v>
      </c>
      <c r="B75" t="s">
        <v>3</v>
      </c>
      <c r="C75" s="81" t="str">
        <f t="shared" si="14"/>
        <v>Wiveliscombe Long</v>
      </c>
      <c r="D75" t="s">
        <v>183</v>
      </c>
      <c r="E75" s="81" t="str">
        <f t="shared" si="0"/>
        <v>Adam Fieldhouse Long</v>
      </c>
      <c r="F75" t="s">
        <v>103</v>
      </c>
      <c r="G75">
        <v>51</v>
      </c>
      <c r="H75">
        <v>4</v>
      </c>
      <c r="I75" s="30">
        <f t="shared" si="61"/>
        <v>3.5462962962962967E-2</v>
      </c>
      <c r="J75" s="7">
        <f t="shared" si="62"/>
        <v>3.5462962962962967E-2</v>
      </c>
      <c r="K75" s="7">
        <f t="shared" si="63"/>
        <v>1</v>
      </c>
      <c r="L75" s="10">
        <f t="shared" si="64"/>
        <v>51.06666666666667</v>
      </c>
      <c r="N75" s="6" t="s">
        <v>18</v>
      </c>
      <c r="O75" s="43">
        <v>790</v>
      </c>
      <c r="P75" s="44">
        <v>60</v>
      </c>
      <c r="Q75" s="45">
        <f t="shared" si="65"/>
        <v>730</v>
      </c>
      <c r="R75" s="45">
        <f>IF(VLOOKUP($A75,events!$B$4:$C$8,2,0)=$Q75,ROUNDDOWN(50-$L75,0),0)</f>
        <v>0</v>
      </c>
      <c r="S75" s="44">
        <f t="shared" si="43"/>
        <v>0</v>
      </c>
      <c r="T75" s="46">
        <f t="shared" si="66"/>
        <v>730</v>
      </c>
      <c r="U75" s="47">
        <f>ROUND($T75*1000/_xlfn.AGGREGATE(14,6,$T$9:$T$115/($C$9:$C$115=$C75),1),0)</f>
        <v>1000</v>
      </c>
      <c r="V75" s="47">
        <f>1+COUNTIFS($C$9:$C$115,$C75,$U$9:$U$115,"&gt;"&amp;$U75)</f>
        <v>1</v>
      </c>
      <c r="W75" s="45">
        <f t="shared" si="44"/>
        <v>1</v>
      </c>
      <c r="X75" s="46">
        <f t="shared" si="67"/>
        <v>730</v>
      </c>
      <c r="Y75" s="48"/>
      <c r="Z75" s="59">
        <f>ROUND($X75*1000/_xlfn.AGGREGATE(14,6,$X$9:$X$115/($C$9:$C$115=$C75),1),0)+Y75</f>
        <v>1000</v>
      </c>
      <c r="AA75" s="48"/>
      <c r="AB75" s="50">
        <f>IF($AA75="d",$B$5+1,1+SUMPRODUCT(($E$9:$E$153=$E75)*($Z$9:$Z$153&gt;$Z75)))</f>
        <v>1</v>
      </c>
      <c r="AC75" s="49">
        <f t="shared" si="68"/>
        <v>1000</v>
      </c>
      <c r="AD75">
        <f>COUNTIF($E$9:$E75,$E75)</f>
        <v>3</v>
      </c>
      <c r="AE75" s="35">
        <f>SUMIF($E$9:$E$115,$E75,$AC$9:$AC$115)</f>
        <v>2719</v>
      </c>
      <c r="AF75" s="35">
        <f>IF($AD75&gt;1,0,SUMIF($E$9:$E$115,$E75,$AC$9:$AC$115))</f>
        <v>0</v>
      </c>
      <c r="AG75" s="11">
        <f>IF(Z75=0,"",1+COUNTIFS($C$9:$C$115,$C75,$Z$9:$Z$115,"&gt;"&amp;$Z75))</f>
        <v>1</v>
      </c>
      <c r="AH75" t="str">
        <f t="shared" si="33"/>
        <v>Adam Fieldhouse- QO- M21</v>
      </c>
      <c r="AI75" s="22">
        <f t="shared" si="46"/>
        <v>1000</v>
      </c>
    </row>
    <row r="76" spans="1:35" x14ac:dyDescent="0.25">
      <c r="A76" s="79" t="s">
        <v>209</v>
      </c>
      <c r="B76" t="s">
        <v>3</v>
      </c>
      <c r="C76" s="81" t="str">
        <f t="shared" si="14"/>
        <v>Wiveliscombe Long</v>
      </c>
      <c r="D76" t="s">
        <v>108</v>
      </c>
      <c r="E76" s="81" t="str">
        <f t="shared" si="0"/>
        <v>Robin Fieldhouse Long</v>
      </c>
      <c r="F76" t="s">
        <v>103</v>
      </c>
      <c r="G76">
        <v>49</v>
      </c>
      <c r="H76">
        <v>8</v>
      </c>
      <c r="I76" s="30">
        <f t="shared" si="61"/>
        <v>3.412037037037037E-2</v>
      </c>
      <c r="J76" s="7">
        <f t="shared" si="62"/>
        <v>3.412037037037037E-2</v>
      </c>
      <c r="K76" s="7">
        <f t="shared" si="63"/>
        <v>1</v>
      </c>
      <c r="L76" s="10">
        <f t="shared" si="64"/>
        <v>49.133333333333333</v>
      </c>
      <c r="N76" s="6" t="s">
        <v>18</v>
      </c>
      <c r="O76" s="43">
        <v>700</v>
      </c>
      <c r="P76" s="44">
        <v>0</v>
      </c>
      <c r="Q76" s="45">
        <f t="shared" si="65"/>
        <v>700</v>
      </c>
      <c r="R76" s="45">
        <f>IF(VLOOKUP($A76,events!$B$4:$C$8,2,0)=$Q76,ROUNDDOWN(50-$L76,0),0)</f>
        <v>0</v>
      </c>
      <c r="S76" s="44">
        <f t="shared" si="43"/>
        <v>0</v>
      </c>
      <c r="T76" s="46">
        <f t="shared" si="66"/>
        <v>700</v>
      </c>
      <c r="U76" s="47">
        <f>ROUND($T76*1000/_xlfn.AGGREGATE(14,6,$T$9:$T$115/($C$9:$C$115=$C76),1),0)</f>
        <v>959</v>
      </c>
      <c r="V76" s="47">
        <f>1+COUNTIFS($C$9:$C$115,$C76,$U$9:$U$115,"&gt;"&amp;$U76)</f>
        <v>2</v>
      </c>
      <c r="W76" s="45">
        <f t="shared" si="44"/>
        <v>1</v>
      </c>
      <c r="X76" s="46">
        <f t="shared" si="67"/>
        <v>700</v>
      </c>
      <c r="Y76" s="48"/>
      <c r="Z76" s="59">
        <f>ROUND($X76*1000/_xlfn.AGGREGATE(14,6,$X$9:$X$115/($C$9:$C$115=$C76),1),0)+Y76</f>
        <v>959</v>
      </c>
      <c r="AA76" s="48"/>
      <c r="AB76" s="50">
        <f>IF($AA76="d",$B$5+1,1+SUMPRODUCT(($E$9:$E$153=$E76)*($Z$9:$Z$153&gt;$Z76)))</f>
        <v>1</v>
      </c>
      <c r="AC76" s="49">
        <f t="shared" si="68"/>
        <v>959</v>
      </c>
      <c r="AD76">
        <f>COUNTIF($E$9:$E76,$E76)</f>
        <v>4</v>
      </c>
      <c r="AE76" s="35">
        <f>SUMIF($E$9:$E$115,$E76,$AC$9:$AC$115)</f>
        <v>2600</v>
      </c>
      <c r="AF76" s="35">
        <f>IF($AD76&gt;1,0,SUMIF($E$9:$E$115,$E76,$AC$9:$AC$115))</f>
        <v>0</v>
      </c>
      <c r="AG76" s="11">
        <f>IF(Z76=0,"",1+COUNTIFS($C$9:$C$115,$C76,$Z$9:$Z$115,"&gt;"&amp;$Z76))</f>
        <v>3</v>
      </c>
      <c r="AH76" t="str">
        <f t="shared" si="33"/>
        <v>Robin Fieldhouse- QO- M21</v>
      </c>
      <c r="AI76" s="22">
        <f t="shared" si="46"/>
        <v>959</v>
      </c>
    </row>
    <row r="77" spans="1:35" x14ac:dyDescent="0.25">
      <c r="A77" s="79" t="s">
        <v>209</v>
      </c>
      <c r="B77" t="s">
        <v>3</v>
      </c>
      <c r="C77" s="81" t="str">
        <f t="shared" si="14"/>
        <v>Wiveliscombe Long</v>
      </c>
      <c r="D77" t="s">
        <v>162</v>
      </c>
      <c r="E77" s="81" t="str">
        <f t="shared" si="0"/>
        <v>Ollie Rant Long</v>
      </c>
      <c r="F77" t="s">
        <v>103</v>
      </c>
      <c r="G77">
        <v>47</v>
      </c>
      <c r="H77">
        <v>30</v>
      </c>
      <c r="I77" s="30">
        <f t="shared" si="61"/>
        <v>3.2986111111111112E-2</v>
      </c>
      <c r="J77" s="7">
        <f t="shared" si="62"/>
        <v>3.2986111111111112E-2</v>
      </c>
      <c r="K77" s="7">
        <f t="shared" si="63"/>
        <v>1</v>
      </c>
      <c r="L77" s="10">
        <f t="shared" si="64"/>
        <v>47.500000000000007</v>
      </c>
      <c r="N77" s="6" t="s">
        <v>18</v>
      </c>
      <c r="O77" s="43">
        <v>690</v>
      </c>
      <c r="P77" s="44">
        <v>0</v>
      </c>
      <c r="Q77" s="45">
        <f t="shared" si="65"/>
        <v>690</v>
      </c>
      <c r="R77" s="45">
        <f>IF(VLOOKUP($A77,events!$B$4:$C$8,2,0)=$Q77,ROUNDDOWN(50-$L77,0),0)</f>
        <v>0</v>
      </c>
      <c r="S77" s="44">
        <f t="shared" si="43"/>
        <v>0</v>
      </c>
      <c r="T77" s="46">
        <f t="shared" si="66"/>
        <v>690</v>
      </c>
      <c r="U77" s="47">
        <f>ROUND($T77*1000/_xlfn.AGGREGATE(14,6,$T$9:$T$115/($C$9:$C$115=$C77),1),0)</f>
        <v>945</v>
      </c>
      <c r="V77" s="47">
        <f>1+COUNTIFS($C$9:$C$115,$C77,$U$9:$U$115,"&gt;"&amp;$U77)</f>
        <v>3</v>
      </c>
      <c r="W77" s="45">
        <f t="shared" si="44"/>
        <v>1</v>
      </c>
      <c r="X77" s="46">
        <f t="shared" si="67"/>
        <v>690</v>
      </c>
      <c r="Y77" s="48"/>
      <c r="Z77" s="59">
        <f>ROUND($X77*1000/_xlfn.AGGREGATE(14,6,$X$9:$X$115/($C$9:$C$115=$C77),1),0)+Y77</f>
        <v>945</v>
      </c>
      <c r="AA77" s="48"/>
      <c r="AB77" s="50">
        <f>IF($AA77="d",$B$5+1,1+SUMPRODUCT(($E$9:$E$153=$E77)*($Z$9:$Z$153&gt;$Z77)))</f>
        <v>2</v>
      </c>
      <c r="AC77" s="49">
        <f t="shared" si="68"/>
        <v>945</v>
      </c>
      <c r="AD77">
        <f>COUNTIF($E$9:$E77,$E77)</f>
        <v>4</v>
      </c>
      <c r="AE77" s="35">
        <f>SUMIF($E$9:$E$115,$E77,$AC$9:$AC$115)</f>
        <v>2858</v>
      </c>
      <c r="AF77" s="35">
        <f>IF($AD77&gt;1,0,SUMIF($E$9:$E$115,$E77,$AC$9:$AC$115))</f>
        <v>0</v>
      </c>
      <c r="AG77" s="11">
        <f>IF(Z77=0,"",1+COUNTIFS($C$9:$C$115,$C77,$Z$9:$Z$115,"&gt;"&amp;$Z77))</f>
        <v>4</v>
      </c>
      <c r="AH77" t="str">
        <f t="shared" si="33"/>
        <v>Ollie Rant- QO- M21</v>
      </c>
      <c r="AI77" s="22">
        <f t="shared" si="46"/>
        <v>945</v>
      </c>
    </row>
    <row r="78" spans="1:35" x14ac:dyDescent="0.25">
      <c r="A78" s="79" t="s">
        <v>209</v>
      </c>
      <c r="B78" t="s">
        <v>3</v>
      </c>
      <c r="C78" s="81" t="str">
        <f t="shared" si="14"/>
        <v>Wiveliscombe Long</v>
      </c>
      <c r="D78" t="s">
        <v>197</v>
      </c>
      <c r="E78" s="81" t="str">
        <f t="shared" si="0"/>
        <v>Matt Atkins Long</v>
      </c>
      <c r="F78" t="s">
        <v>168</v>
      </c>
      <c r="G78">
        <v>50</v>
      </c>
      <c r="H78">
        <v>23</v>
      </c>
      <c r="I78" s="30">
        <f t="shared" si="61"/>
        <v>3.498842592592593E-2</v>
      </c>
      <c r="J78" s="7">
        <f t="shared" si="62"/>
        <v>3.498842592592593E-2</v>
      </c>
      <c r="K78" s="7">
        <f t="shared" si="63"/>
        <v>1</v>
      </c>
      <c r="L78" s="10">
        <f t="shared" si="64"/>
        <v>50.383333333333333</v>
      </c>
      <c r="N78" s="6" t="s">
        <v>26</v>
      </c>
      <c r="O78" s="43">
        <v>650</v>
      </c>
      <c r="P78" s="44">
        <v>30</v>
      </c>
      <c r="Q78" s="45">
        <f t="shared" si="65"/>
        <v>620</v>
      </c>
      <c r="R78" s="45">
        <f>IF(VLOOKUP($A78,events!$B$4:$C$8,2,0)=$Q78,ROUNDDOWN(50-$L78,0),0)</f>
        <v>0</v>
      </c>
      <c r="S78" s="44">
        <f t="shared" si="43"/>
        <v>0</v>
      </c>
      <c r="T78" s="46">
        <f t="shared" si="66"/>
        <v>620</v>
      </c>
      <c r="U78" s="47">
        <f>ROUND($T78*1000/_xlfn.AGGREGATE(14,6,$T$9:$T$115/($C$9:$C$115=$C78),1),0)</f>
        <v>849</v>
      </c>
      <c r="V78" s="47">
        <f>1+COUNTIFS($C$9:$C$115,$C78,$U$9:$U$115,"&gt;"&amp;$U78)</f>
        <v>4</v>
      </c>
      <c r="W78" s="45">
        <f t="shared" si="44"/>
        <v>0.85</v>
      </c>
      <c r="X78" s="46">
        <f t="shared" si="67"/>
        <v>729</v>
      </c>
      <c r="Y78" s="48"/>
      <c r="Z78" s="59">
        <f>ROUND($X78*1000/_xlfn.AGGREGATE(14,6,$X$9:$X$115/($C$9:$C$115=$C78),1),0)+Y78</f>
        <v>999</v>
      </c>
      <c r="AA78" s="48"/>
      <c r="AB78" s="50">
        <f>IF($AA78="d",$B$5+1,1+SUMPRODUCT(($E$9:$E$153=$E78)*($Z$9:$Z$153&gt;$Z78)))</f>
        <v>1</v>
      </c>
      <c r="AC78" s="49">
        <f t="shared" si="68"/>
        <v>999</v>
      </c>
      <c r="AD78">
        <f>COUNTIF($E$9:$E78,$E78)</f>
        <v>2</v>
      </c>
      <c r="AE78" s="35">
        <f>SUMIF($E$9:$E$115,$E78,$AC$9:$AC$115)</f>
        <v>2842</v>
      </c>
      <c r="AF78" s="35">
        <f>IF($AD78&gt;1,0,SUMIF($E$9:$E$115,$E78,$AC$9:$AC$115))</f>
        <v>0</v>
      </c>
      <c r="AG78" s="11">
        <f>IF(Z78=0,"",1+COUNTIFS($C$9:$C$115,$C78,$Z$9:$Z$115,"&gt;"&amp;$Z78))</f>
        <v>2</v>
      </c>
      <c r="AH78" t="str">
        <f t="shared" si="33"/>
        <v>Matt Atkins- Devon- M50</v>
      </c>
      <c r="AI78" s="22">
        <f t="shared" si="46"/>
        <v>999</v>
      </c>
    </row>
    <row r="79" spans="1:35" x14ac:dyDescent="0.25">
      <c r="A79" s="79" t="s">
        <v>209</v>
      </c>
      <c r="B79" t="s">
        <v>3</v>
      </c>
      <c r="C79" s="81" t="str">
        <f t="shared" si="14"/>
        <v>Wiveliscombe Long</v>
      </c>
      <c r="D79" t="s">
        <v>163</v>
      </c>
      <c r="E79" s="81" t="str">
        <f t="shared" si="0"/>
        <v>Adam 'Tango' Holland Long</v>
      </c>
      <c r="F79" t="s">
        <v>169</v>
      </c>
      <c r="G79">
        <v>40</v>
      </c>
      <c r="H79">
        <v>40</v>
      </c>
      <c r="I79" s="30">
        <f t="shared" si="61"/>
        <v>2.8240740740740736E-2</v>
      </c>
      <c r="J79" s="7">
        <f t="shared" si="62"/>
        <v>2.8240740740740736E-2</v>
      </c>
      <c r="K79" s="7">
        <f t="shared" si="63"/>
        <v>1</v>
      </c>
      <c r="L79" s="10">
        <f t="shared" si="64"/>
        <v>40.666666666666664</v>
      </c>
      <c r="N79" s="6" t="s">
        <v>117</v>
      </c>
      <c r="O79" s="43">
        <v>590</v>
      </c>
      <c r="P79" s="44">
        <v>0</v>
      </c>
      <c r="Q79" s="45">
        <f t="shared" si="65"/>
        <v>590</v>
      </c>
      <c r="R79" s="45">
        <f>IF(VLOOKUP($A79,events!$B$4:$C$8,2,0)=$Q79,ROUNDDOWN(50-$L79,0),0)</f>
        <v>0</v>
      </c>
      <c r="S79" s="44">
        <f t="shared" si="43"/>
        <v>0</v>
      </c>
      <c r="T79" s="46">
        <f t="shared" si="66"/>
        <v>590</v>
      </c>
      <c r="U79" s="47">
        <f>ROUND($T79*1000/_xlfn.AGGREGATE(14,6,$T$9:$T$115/($C$9:$C$115=$C79),1),0)</f>
        <v>808</v>
      </c>
      <c r="V79" s="47">
        <f>1+COUNTIFS($C$9:$C$115,$C79,$U$9:$U$115,"&gt;"&amp;$U79)</f>
        <v>5</v>
      </c>
      <c r="W79" s="45">
        <f t="shared" si="44"/>
        <v>0.99</v>
      </c>
      <c r="X79" s="46">
        <f t="shared" si="67"/>
        <v>596</v>
      </c>
      <c r="Y79" s="48"/>
      <c r="Z79" s="59">
        <f>ROUND($X79*1000/_xlfn.AGGREGATE(14,6,$X$9:$X$115/($C$9:$C$115=$C79),1),0)+Y79</f>
        <v>816</v>
      </c>
      <c r="AA79" s="48"/>
      <c r="AB79" s="50">
        <f>IF($AA79="d",$B$5+1,1+SUMPRODUCT(($E$9:$E$153=$E79)*($Z$9:$Z$153&gt;$Z79)))</f>
        <v>3</v>
      </c>
      <c r="AC79" s="49" t="str">
        <f t="shared" si="68"/>
        <v/>
      </c>
      <c r="AD79">
        <f>COUNTIF($E$9:$E79,$E79)</f>
        <v>3</v>
      </c>
      <c r="AE79" s="35">
        <f>SUMIF($E$9:$E$115,$E79,$AC$9:$AC$115)</f>
        <v>0</v>
      </c>
      <c r="AF79" s="35">
        <f>IF($AD79&gt;1,0,SUMIF($E$9:$E$115,$E79,$AC$9:$AC$115))</f>
        <v>0</v>
      </c>
      <c r="AG79" s="11">
        <f>IF(Z79=0,"",1+COUNTIFS($C$9:$C$115,$C79,$Z$9:$Z$115,"&gt;"&amp;$Z79))</f>
        <v>7</v>
      </c>
      <c r="AH79" t="str">
        <f t="shared" si="33"/>
        <v>Adam 'Tango' Holland- Ind- M30</v>
      </c>
      <c r="AI79" s="22" t="str">
        <f t="shared" si="46"/>
        <v/>
      </c>
    </row>
    <row r="80" spans="1:35" x14ac:dyDescent="0.25">
      <c r="A80" s="79" t="s">
        <v>209</v>
      </c>
      <c r="B80" t="s">
        <v>3</v>
      </c>
      <c r="C80" s="81" t="str">
        <f t="shared" si="14"/>
        <v>Wiveliscombe Long</v>
      </c>
      <c r="D80" t="s">
        <v>196</v>
      </c>
      <c r="E80" s="81" t="str">
        <f t="shared" si="0"/>
        <v>Richard Sansbury Long</v>
      </c>
      <c r="F80" t="s">
        <v>103</v>
      </c>
      <c r="G80">
        <v>50</v>
      </c>
      <c r="H80">
        <v>58</v>
      </c>
      <c r="I80" s="30">
        <f t="shared" si="61"/>
        <v>3.5393518518518519E-2</v>
      </c>
      <c r="J80" s="7">
        <f t="shared" si="62"/>
        <v>3.5393518518518519E-2</v>
      </c>
      <c r="K80" s="7">
        <f t="shared" si="63"/>
        <v>1</v>
      </c>
      <c r="L80" s="10">
        <f t="shared" si="64"/>
        <v>50.966666666666669</v>
      </c>
      <c r="N80" s="6" t="s">
        <v>26</v>
      </c>
      <c r="O80" s="43">
        <v>540</v>
      </c>
      <c r="P80" s="44">
        <v>30</v>
      </c>
      <c r="Q80" s="45">
        <f t="shared" si="65"/>
        <v>510</v>
      </c>
      <c r="R80" s="45">
        <f>IF(VLOOKUP($A80,events!$B$4:$C$8,2,0)=$Q80,ROUNDDOWN(50-$L80,0),0)</f>
        <v>0</v>
      </c>
      <c r="S80" s="44">
        <f t="shared" si="43"/>
        <v>0</v>
      </c>
      <c r="T80" s="46">
        <f t="shared" si="66"/>
        <v>510</v>
      </c>
      <c r="U80" s="47">
        <f>ROUND($T80*1000/_xlfn.AGGREGATE(14,6,$T$9:$T$115/($C$9:$C$115=$C80),1),0)</f>
        <v>699</v>
      </c>
      <c r="V80" s="47">
        <f>1+COUNTIFS($C$9:$C$115,$C80,$U$9:$U$115,"&gt;"&amp;$U80)</f>
        <v>6</v>
      </c>
      <c r="W80" s="45">
        <f t="shared" si="44"/>
        <v>0.85</v>
      </c>
      <c r="X80" s="46">
        <f t="shared" si="67"/>
        <v>600</v>
      </c>
      <c r="Y80" s="48"/>
      <c r="Z80" s="59">
        <f>ROUND($X80*1000/_xlfn.AGGREGATE(14,6,$X$9:$X$115/($C$9:$C$115=$C80),1),0)+Y80</f>
        <v>822</v>
      </c>
      <c r="AA80" s="48"/>
      <c r="AB80" s="50">
        <f>IF($AA80="d",$B$5+1,1+SUMPRODUCT(($E$9:$E$153=$E80)*($Z$9:$Z$153&gt;$Z80)))</f>
        <v>2</v>
      </c>
      <c r="AC80" s="49">
        <f t="shared" si="68"/>
        <v>822</v>
      </c>
      <c r="AD80">
        <f>COUNTIF($E$9:$E80,$E80)</f>
        <v>2</v>
      </c>
      <c r="AE80" s="35">
        <f>SUMIF($E$9:$E$115,$E80,$AC$9:$AC$115)</f>
        <v>1822</v>
      </c>
      <c r="AF80" s="35">
        <f>IF($AD80&gt;1,0,SUMIF($E$9:$E$115,$E80,$AC$9:$AC$115))</f>
        <v>0</v>
      </c>
      <c r="AG80" s="11">
        <f>IF(Z80=0,"",1+COUNTIFS($C$9:$C$115,$C80,$Z$9:$Z$115,"&gt;"&amp;$Z80))</f>
        <v>6</v>
      </c>
      <c r="AH80" t="str">
        <f t="shared" si="33"/>
        <v>Richard Sansbury- QO- M50</v>
      </c>
      <c r="AI80" s="22">
        <f t="shared" si="46"/>
        <v>822</v>
      </c>
    </row>
    <row r="81" spans="1:35" x14ac:dyDescent="0.25">
      <c r="A81" s="79" t="s">
        <v>209</v>
      </c>
      <c r="B81" t="s">
        <v>3</v>
      </c>
      <c r="C81" s="81" t="str">
        <f t="shared" si="14"/>
        <v>Wiveliscombe Long</v>
      </c>
      <c r="D81" t="s">
        <v>194</v>
      </c>
      <c r="E81" s="81" t="str">
        <f t="shared" si="0"/>
        <v>Chris Philip Long</v>
      </c>
      <c r="F81" t="s">
        <v>103</v>
      </c>
      <c r="G81">
        <v>48</v>
      </c>
      <c r="H81">
        <v>28</v>
      </c>
      <c r="I81" s="30">
        <f t="shared" si="61"/>
        <v>3.3657407407407407E-2</v>
      </c>
      <c r="J81" s="7">
        <f t="shared" si="62"/>
        <v>3.3657407407407407E-2</v>
      </c>
      <c r="K81" s="7">
        <f t="shared" si="63"/>
        <v>1</v>
      </c>
      <c r="L81" s="10">
        <f t="shared" si="64"/>
        <v>48.466666666666661</v>
      </c>
      <c r="N81" s="6" t="s">
        <v>32</v>
      </c>
      <c r="O81" s="43">
        <v>460</v>
      </c>
      <c r="P81" s="44">
        <v>0</v>
      </c>
      <c r="Q81" s="45">
        <f t="shared" si="65"/>
        <v>460</v>
      </c>
      <c r="R81" s="45">
        <f>IF(VLOOKUP($A81,events!$B$4:$C$8,2,0)=$Q81,ROUNDDOWN(50-$L81,0),0)</f>
        <v>0</v>
      </c>
      <c r="S81" s="44">
        <f t="shared" si="43"/>
        <v>0</v>
      </c>
      <c r="T81" s="46">
        <f t="shared" si="66"/>
        <v>460</v>
      </c>
      <c r="U81" s="47">
        <f>ROUND($T81*1000/_xlfn.AGGREGATE(14,6,$T$9:$T$115/($C$9:$C$115=$C81),1),0)</f>
        <v>630</v>
      </c>
      <c r="V81" s="47">
        <f>1+COUNTIFS($C$9:$C$115,$C81,$U$9:$U$115,"&gt;"&amp;$U81)</f>
        <v>7</v>
      </c>
      <c r="W81" s="45">
        <f t="shared" si="44"/>
        <v>0.7</v>
      </c>
      <c r="X81" s="46">
        <f t="shared" si="67"/>
        <v>657</v>
      </c>
      <c r="Y81" s="48"/>
      <c r="Z81" s="59">
        <f>ROUND($X81*1000/_xlfn.AGGREGATE(14,6,$X$9:$X$115/($C$9:$C$115=$C81),1),0)+Y81</f>
        <v>900</v>
      </c>
      <c r="AA81" s="48"/>
      <c r="AB81" s="50">
        <f>IF($AA81="d",$B$5+1,1+SUMPRODUCT(($E$9:$E$153=$E81)*($Z$9:$Z$153&gt;$Z81)))</f>
        <v>3</v>
      </c>
      <c r="AC81" s="49">
        <f t="shared" si="68"/>
        <v>900</v>
      </c>
      <c r="AD81">
        <f>COUNTIF($E$9:$E81,$E81)</f>
        <v>3</v>
      </c>
      <c r="AE81" s="35">
        <f>SUMIF($E$9:$E$115,$E81,$AC$9:$AC$115)</f>
        <v>2863</v>
      </c>
      <c r="AF81" s="35">
        <f>IF($AD81&gt;1,0,SUMIF($E$9:$E$115,$E81,$AC$9:$AC$115))</f>
        <v>0</v>
      </c>
      <c r="AG81" s="11">
        <f>IF(Z81=0,"",1+COUNTIFS($C$9:$C$115,$C81,$Z$9:$Z$115,"&gt;"&amp;$Z81))</f>
        <v>5</v>
      </c>
      <c r="AH81" t="str">
        <f t="shared" si="33"/>
        <v>Chris Philip- QO- M65</v>
      </c>
      <c r="AI81" s="22">
        <f t="shared" si="46"/>
        <v>900</v>
      </c>
    </row>
    <row r="82" spans="1:35" x14ac:dyDescent="0.25">
      <c r="A82" s="79" t="s">
        <v>209</v>
      </c>
      <c r="B82" t="s">
        <v>3</v>
      </c>
      <c r="C82" s="81" t="str">
        <f t="shared" si="14"/>
        <v>Wiveliscombe Long</v>
      </c>
      <c r="D82" t="s">
        <v>110</v>
      </c>
      <c r="E82" s="81" t="str">
        <f t="shared" si="0"/>
        <v>Simon St Leger-Harris Long</v>
      </c>
      <c r="F82" t="s">
        <v>103</v>
      </c>
      <c r="G82">
        <v>55</v>
      </c>
      <c r="H82">
        <v>56</v>
      </c>
      <c r="I82" s="30">
        <f t="shared" si="61"/>
        <v>3.8842592592592588E-2</v>
      </c>
      <c r="J82" s="7">
        <f t="shared" si="62"/>
        <v>3.8842592592592588E-2</v>
      </c>
      <c r="K82" s="7">
        <f t="shared" si="63"/>
        <v>1</v>
      </c>
      <c r="L82" s="10">
        <f t="shared" si="64"/>
        <v>55.933333333333323</v>
      </c>
      <c r="N82" s="6" t="s">
        <v>32</v>
      </c>
      <c r="O82" s="43">
        <v>520</v>
      </c>
      <c r="P82" s="44">
        <v>180</v>
      </c>
      <c r="Q82" s="45">
        <f t="shared" si="65"/>
        <v>340</v>
      </c>
      <c r="R82" s="45">
        <f>IF(VLOOKUP($A82,events!$B$4:$C$8,2,0)=$Q82,ROUNDDOWN(50-$L82,0),0)</f>
        <v>0</v>
      </c>
      <c r="S82" s="44">
        <f t="shared" si="43"/>
        <v>0</v>
      </c>
      <c r="T82" s="46">
        <f t="shared" si="66"/>
        <v>340</v>
      </c>
      <c r="U82" s="47">
        <f>ROUND($T82*1000/_xlfn.AGGREGATE(14,6,$T$9:$T$115/($C$9:$C$115=$C82),1),0)</f>
        <v>466</v>
      </c>
      <c r="V82" s="47">
        <f>1+COUNTIFS($C$9:$C$115,$C82,$U$9:$U$115,"&gt;"&amp;$U82)</f>
        <v>8</v>
      </c>
      <c r="W82" s="45">
        <f t="shared" si="44"/>
        <v>0.7</v>
      </c>
      <c r="X82" s="46">
        <f t="shared" si="67"/>
        <v>486</v>
      </c>
      <c r="Y82" s="48"/>
      <c r="Z82" s="59">
        <f>ROUND($X82*1000/_xlfn.AGGREGATE(14,6,$X$9:$X$115/($C$9:$C$115=$C82),1),0)+Y82</f>
        <v>666</v>
      </c>
      <c r="AA82" s="48"/>
      <c r="AB82" s="50">
        <f>IF($AA82="d",$B$5+1,1+SUMPRODUCT(($E$9:$E$153=$E82)*($Z$9:$Z$153&gt;$Z82)))</f>
        <v>4</v>
      </c>
      <c r="AC82" s="49" t="str">
        <f t="shared" si="68"/>
        <v/>
      </c>
      <c r="AD82">
        <f>COUNTIF($E$9:$E82,$E82)</f>
        <v>4</v>
      </c>
      <c r="AE82" s="35">
        <f>SUMIF($E$9:$E$115,$E82,$AC$9:$AC$115)</f>
        <v>2425</v>
      </c>
      <c r="AF82" s="35">
        <f>IF($AD82&gt;1,0,SUMIF($E$9:$E$115,$E82,$AC$9:$AC$115))</f>
        <v>0</v>
      </c>
      <c r="AG82" s="11">
        <f>IF(Z82=0,"",1+COUNTIFS($C$9:$C$115,$C82,$Z$9:$Z$115,"&gt;"&amp;$Z82))</f>
        <v>8</v>
      </c>
      <c r="AH82" t="str">
        <f t="shared" si="33"/>
        <v>Simon St Leger-Harris- QO- M65</v>
      </c>
      <c r="AI82" s="22" t="str">
        <f t="shared" si="46"/>
        <v/>
      </c>
    </row>
    <row r="83" spans="1:35" x14ac:dyDescent="0.25">
      <c r="A83" s="79" t="s">
        <v>209</v>
      </c>
      <c r="B83" t="s">
        <v>99</v>
      </c>
      <c r="C83" s="81" t="str">
        <f t="shared" si="14"/>
        <v>Wiveliscombe Short</v>
      </c>
      <c r="D83" t="s">
        <v>188</v>
      </c>
      <c r="E83" s="81" t="str">
        <f t="shared" si="0"/>
        <v>Alasdair Shaw Short</v>
      </c>
      <c r="F83" t="s">
        <v>103</v>
      </c>
      <c r="G83">
        <v>48</v>
      </c>
      <c r="H83">
        <v>59</v>
      </c>
      <c r="I83" s="30">
        <f t="shared" ref="I83" si="69">IFERROR(TIMEVALUE(CONCATENATE(0,":",G83,":",H83)),"")</f>
        <v>3.4016203703703708E-2</v>
      </c>
      <c r="J83" s="7">
        <f t="shared" ref="J83" si="70">I83</f>
        <v>3.4016203703703708E-2</v>
      </c>
      <c r="K83" s="7">
        <f t="shared" ref="K83" si="71">IF(I83&gt;0.4,1/60,1)</f>
        <v>1</v>
      </c>
      <c r="L83" s="10">
        <f t="shared" ref="L83" si="72">I83*K83*24*60</f>
        <v>48.983333333333341</v>
      </c>
      <c r="N83" s="6" t="s">
        <v>22</v>
      </c>
      <c r="O83" s="43">
        <v>640</v>
      </c>
      <c r="P83" s="44"/>
      <c r="Q83" s="45">
        <f t="shared" ref="Q83" si="73">O83-P83</f>
        <v>640</v>
      </c>
      <c r="R83" s="45">
        <f>IF(VLOOKUP($A83,events!$B$4:$C$8,2,0)=$Q83,ROUNDDOWN(50-$L83,0),0)</f>
        <v>0</v>
      </c>
      <c r="S83" s="44">
        <f t="shared" si="43"/>
        <v>0</v>
      </c>
      <c r="T83" s="46">
        <f t="shared" ref="T83" si="74">Q83+S83</f>
        <v>640</v>
      </c>
      <c r="U83" s="47">
        <f>ROUND($T83*1000/_xlfn.AGGREGATE(14,6,$T$9:$T$115/($C$9:$C$115=$C83),1),0)</f>
        <v>1000</v>
      </c>
      <c r="V83" s="47">
        <f>1+COUNTIFS($C$9:$C$115,$C83,$U$9:$U$115,"&gt;"&amp;$U83)</f>
        <v>1</v>
      </c>
      <c r="W83" s="45">
        <f t="shared" si="44"/>
        <v>0.93</v>
      </c>
      <c r="X83" s="46">
        <f t="shared" ref="X83" si="75">ROUND(T83/W83,0)</f>
        <v>688</v>
      </c>
      <c r="Y83" s="48"/>
      <c r="Z83" s="59">
        <f>ROUND($X83*1000/_xlfn.AGGREGATE(14,6,$X$9:$X$115/($C$9:$C$115=$C83),1),0)+Y83</f>
        <v>860</v>
      </c>
      <c r="AA83" s="48"/>
      <c r="AB83" s="50">
        <f>IF($AA83="d",$B$5+1,1+SUMPRODUCT(($E$9:$E$153=$E83)*($Z$9:$Z$153&gt;$Z83)))</f>
        <v>1</v>
      </c>
      <c r="AC83" s="49">
        <f t="shared" ref="AC83" si="76">IF(OR(F83="IND",$AB83&gt;$B$4),"",Z83)</f>
        <v>860</v>
      </c>
      <c r="AD83">
        <f>COUNTIF($E$9:$E83,$E83)</f>
        <v>4</v>
      </c>
      <c r="AE83" s="35">
        <f>SUMIF($E$9:$E$115,$E83,$AC$9:$AC$115)</f>
        <v>2495</v>
      </c>
      <c r="AF83" s="35">
        <f>IF($AD83&gt;1,0,SUMIF($E$9:$E$115,$E83,$AC$9:$AC$115))</f>
        <v>0</v>
      </c>
      <c r="AG83" s="11">
        <f>IF(Z83=0,"",1+COUNTIFS($C$9:$C$115,$C83,$Z$9:$Z$115,"&gt;"&amp;$Z83))</f>
        <v>5</v>
      </c>
      <c r="AH83" t="str">
        <f t="shared" si="33"/>
        <v>Alasdair Shaw- QO- M40</v>
      </c>
      <c r="AI83" s="22">
        <f t="shared" si="46"/>
        <v>860</v>
      </c>
    </row>
    <row r="84" spans="1:35" x14ac:dyDescent="0.25">
      <c r="A84" s="79" t="s">
        <v>209</v>
      </c>
      <c r="B84" t="s">
        <v>99</v>
      </c>
      <c r="C84" s="81" t="str">
        <f t="shared" si="14"/>
        <v>Wiveliscombe Short</v>
      </c>
      <c r="D84" t="s">
        <v>146</v>
      </c>
      <c r="E84" s="81" t="str">
        <f t="shared" si="0"/>
        <v>Ray Toomer Short</v>
      </c>
      <c r="F84" t="s">
        <v>103</v>
      </c>
      <c r="G84">
        <v>49</v>
      </c>
      <c r="H84">
        <v>5</v>
      </c>
      <c r="I84" s="30">
        <f t="shared" si="61"/>
        <v>3.408564814814815E-2</v>
      </c>
      <c r="J84" s="7">
        <f t="shared" si="62"/>
        <v>3.408564814814815E-2</v>
      </c>
      <c r="K84" s="7">
        <f t="shared" si="63"/>
        <v>1</v>
      </c>
      <c r="L84" s="10">
        <f t="shared" si="64"/>
        <v>49.083333333333329</v>
      </c>
      <c r="N84" s="6" t="s">
        <v>32</v>
      </c>
      <c r="O84" s="43">
        <v>560</v>
      </c>
      <c r="P84" s="44"/>
      <c r="Q84" s="45">
        <f t="shared" si="65"/>
        <v>560</v>
      </c>
      <c r="R84" s="45">
        <f>IF(VLOOKUP($A84,events!$B$4:$C$8,2,0)=$Q84,ROUNDDOWN(50-$L84,0),0)</f>
        <v>0</v>
      </c>
      <c r="S84" s="44">
        <f t="shared" si="43"/>
        <v>0</v>
      </c>
      <c r="T84" s="46">
        <f t="shared" si="66"/>
        <v>560</v>
      </c>
      <c r="U84" s="47">
        <f>ROUND($T84*1000/_xlfn.AGGREGATE(14,6,$T$9:$T$115/($C$9:$C$115=$C84),1),0)</f>
        <v>875</v>
      </c>
      <c r="V84" s="47">
        <f>1+COUNTIFS($C$9:$C$115,$C84,$U$9:$U$115,"&gt;"&amp;$U84)</f>
        <v>2</v>
      </c>
      <c r="W84" s="45">
        <f t="shared" si="44"/>
        <v>0.7</v>
      </c>
      <c r="X84" s="46">
        <f t="shared" si="67"/>
        <v>800</v>
      </c>
      <c r="Y84" s="48"/>
      <c r="Z84" s="59">
        <f>ROUND($X84*1000/_xlfn.AGGREGATE(14,6,$X$9:$X$115/($C$9:$C$115=$C84),1),0)+Y84</f>
        <v>1000</v>
      </c>
      <c r="AA84" s="48"/>
      <c r="AB84" s="50">
        <f>IF($AA84="d",$B$5+1,1+SUMPRODUCT(($E$9:$E$153=$E84)*($Z$9:$Z$153&gt;$Z84)))</f>
        <v>1</v>
      </c>
      <c r="AC84" s="49">
        <f t="shared" si="68"/>
        <v>1000</v>
      </c>
      <c r="AD84">
        <f>COUNTIF($E$9:$E84,$E84)</f>
        <v>4</v>
      </c>
      <c r="AE84" s="35">
        <f>SUMIF($E$9:$E$115,$E84,$AC$9:$AC$115)</f>
        <v>3000</v>
      </c>
      <c r="AF84" s="35">
        <f>IF($AD84&gt;1,0,SUMIF($E$9:$E$115,$E84,$AC$9:$AC$115))</f>
        <v>0</v>
      </c>
      <c r="AG84" s="11">
        <f>IF(Z84=0,"",1+COUNTIFS($C$9:$C$115,$C84,$Z$9:$Z$115,"&gt;"&amp;$Z84))</f>
        <v>1</v>
      </c>
      <c r="AH84" t="str">
        <f t="shared" si="33"/>
        <v>Ray Toomer- QO- M65</v>
      </c>
      <c r="AI84" s="22">
        <f t="shared" si="46"/>
        <v>1000</v>
      </c>
    </row>
    <row r="85" spans="1:35" x14ac:dyDescent="0.25">
      <c r="A85" s="79" t="s">
        <v>209</v>
      </c>
      <c r="B85" t="s">
        <v>99</v>
      </c>
      <c r="C85" s="81" t="str">
        <f t="shared" si="14"/>
        <v>Wiveliscombe Short</v>
      </c>
      <c r="D85" t="s">
        <v>165</v>
      </c>
      <c r="E85" s="81" t="str">
        <f t="shared" si="0"/>
        <v>Miffy Treherne Short</v>
      </c>
      <c r="F85" t="s">
        <v>103</v>
      </c>
      <c r="G85">
        <v>46</v>
      </c>
      <c r="H85">
        <v>51</v>
      </c>
      <c r="I85" s="30">
        <f t="shared" si="61"/>
        <v>3.2534722222222222E-2</v>
      </c>
      <c r="J85" s="7">
        <f t="shared" si="62"/>
        <v>3.2534722222222222E-2</v>
      </c>
      <c r="K85" s="7">
        <f t="shared" si="63"/>
        <v>1</v>
      </c>
      <c r="L85" s="10">
        <f t="shared" si="64"/>
        <v>46.849999999999994</v>
      </c>
      <c r="N85" s="6" t="s">
        <v>27</v>
      </c>
      <c r="O85" s="43">
        <v>520</v>
      </c>
      <c r="P85" s="44"/>
      <c r="Q85" s="45">
        <f t="shared" si="65"/>
        <v>520</v>
      </c>
      <c r="R85" s="45">
        <f>IF(VLOOKUP($A85,events!$B$4:$C$8,2,0)=$Q85,ROUNDDOWN(50-$L85,0),0)</f>
        <v>0</v>
      </c>
      <c r="S85" s="44">
        <f t="shared" si="43"/>
        <v>0</v>
      </c>
      <c r="T85" s="46">
        <f t="shared" si="66"/>
        <v>520</v>
      </c>
      <c r="U85" s="47">
        <f>ROUND($T85*1000/_xlfn.AGGREGATE(14,6,$T$9:$T$115/($C$9:$C$115=$C85),1),0)</f>
        <v>813</v>
      </c>
      <c r="V85" s="47">
        <f>1+COUNTIFS($C$9:$C$115,$C85,$U$9:$U$115,"&gt;"&amp;$U85)</f>
        <v>3</v>
      </c>
      <c r="W85" s="45">
        <f t="shared" si="44"/>
        <v>0.75</v>
      </c>
      <c r="X85" s="46">
        <f t="shared" si="67"/>
        <v>693</v>
      </c>
      <c r="Y85" s="48"/>
      <c r="Z85" s="59">
        <f>ROUND($X85*1000/_xlfn.AGGREGATE(14,6,$X$9:$X$115/($C$9:$C$115=$C85),1),0)+Y85</f>
        <v>866</v>
      </c>
      <c r="AA85" s="48"/>
      <c r="AB85" s="50">
        <f>IF($AA85="d",$B$5+1,1+SUMPRODUCT(($E$9:$E$153=$E85)*($Z$9:$Z$153&gt;$Z85)))</f>
        <v>1</v>
      </c>
      <c r="AC85" s="49">
        <f t="shared" si="68"/>
        <v>866</v>
      </c>
      <c r="AD85">
        <f>COUNTIF($E$9:$E85,$E85)</f>
        <v>1</v>
      </c>
      <c r="AE85" s="35">
        <f>SUMIF($E$9:$E$115,$E85,$AC$9:$AC$115)</f>
        <v>866</v>
      </c>
      <c r="AF85" s="35">
        <f>IF($AD85&gt;1,0,SUMIF($E$9:$E$115,$E85,$AC$9:$AC$115))</f>
        <v>866</v>
      </c>
      <c r="AG85" s="11">
        <f>IF(Z85=0,"",1+COUNTIFS($C$9:$C$115,$C85,$Z$9:$Z$115,"&gt;"&amp;$Z85))</f>
        <v>4</v>
      </c>
      <c r="AH85" t="str">
        <f t="shared" si="33"/>
        <v>Miffy Treherne- QO- W50</v>
      </c>
      <c r="AI85" s="22">
        <f t="shared" si="46"/>
        <v>866</v>
      </c>
    </row>
    <row r="86" spans="1:35" x14ac:dyDescent="0.25">
      <c r="A86" s="79" t="s">
        <v>209</v>
      </c>
      <c r="B86" t="s">
        <v>99</v>
      </c>
      <c r="C86" s="81" t="str">
        <f t="shared" si="14"/>
        <v>Wiveliscombe Short</v>
      </c>
      <c r="D86" t="s">
        <v>158</v>
      </c>
      <c r="E86" s="81" t="str">
        <f t="shared" si="0"/>
        <v>Mark Maynard Short</v>
      </c>
      <c r="F86" t="s">
        <v>103</v>
      </c>
      <c r="G86">
        <v>46</v>
      </c>
      <c r="H86">
        <v>33</v>
      </c>
      <c r="I86" s="30">
        <f t="shared" si="61"/>
        <v>3.2326388888888884E-2</v>
      </c>
      <c r="J86" s="7">
        <f t="shared" si="62"/>
        <v>3.2326388888888884E-2</v>
      </c>
      <c r="K86" s="7">
        <f t="shared" si="63"/>
        <v>1</v>
      </c>
      <c r="L86" s="10">
        <f t="shared" si="64"/>
        <v>46.54999999999999</v>
      </c>
      <c r="N86" s="6" t="s">
        <v>26</v>
      </c>
      <c r="O86" s="43">
        <v>450</v>
      </c>
      <c r="P86" s="44"/>
      <c r="Q86" s="45">
        <f t="shared" si="65"/>
        <v>450</v>
      </c>
      <c r="R86" s="45">
        <f>IF(VLOOKUP($A86,events!$B$4:$C$8,2,0)=$Q86,ROUNDDOWN(50-$L86,0),0)</f>
        <v>0</v>
      </c>
      <c r="S86" s="44">
        <f t="shared" si="43"/>
        <v>0</v>
      </c>
      <c r="T86" s="46">
        <f t="shared" si="66"/>
        <v>450</v>
      </c>
      <c r="U86" s="47">
        <f>ROUND($T86*1000/_xlfn.AGGREGATE(14,6,$T$9:$T$115/($C$9:$C$115=$C86),1),0)</f>
        <v>703</v>
      </c>
      <c r="V86" s="47">
        <f>1+COUNTIFS($C$9:$C$115,$C86,$U$9:$U$115,"&gt;"&amp;$U86)</f>
        <v>4</v>
      </c>
      <c r="W86" s="45">
        <f t="shared" si="44"/>
        <v>0.85</v>
      </c>
      <c r="X86" s="46">
        <f t="shared" si="67"/>
        <v>529</v>
      </c>
      <c r="Y86" s="48"/>
      <c r="Z86" s="59">
        <f>ROUND($X86*1000/_xlfn.AGGREGATE(14,6,$X$9:$X$115/($C$9:$C$115=$C86),1),0)+Y86</f>
        <v>661</v>
      </c>
      <c r="AA86" s="48"/>
      <c r="AB86" s="50">
        <f>IF($AA86="d",$B$5+1,1+SUMPRODUCT(($E$9:$E$153=$E86)*($Z$9:$Z$153&gt;$Z86)))</f>
        <v>2</v>
      </c>
      <c r="AC86" s="49">
        <f t="shared" si="68"/>
        <v>661</v>
      </c>
      <c r="AD86">
        <f>COUNTIF($E$9:$E86,$E86)</f>
        <v>2</v>
      </c>
      <c r="AE86" s="35">
        <f>SUMIF($E$9:$E$115,$E86,$AC$9:$AC$115)</f>
        <v>1611</v>
      </c>
      <c r="AF86" s="35">
        <f>IF($AD86&gt;1,0,SUMIF($E$9:$E$115,$E86,$AC$9:$AC$115))</f>
        <v>0</v>
      </c>
      <c r="AG86" s="11">
        <f>IF(Z86=0,"",1+COUNTIFS($C$9:$C$115,$C86,$Z$9:$Z$115,"&gt;"&amp;$Z86))</f>
        <v>9</v>
      </c>
      <c r="AH86" t="str">
        <f t="shared" si="33"/>
        <v>Mark Maynard- QO- M50</v>
      </c>
      <c r="AI86" s="22">
        <f t="shared" si="46"/>
        <v>661</v>
      </c>
    </row>
    <row r="87" spans="1:35" x14ac:dyDescent="0.25">
      <c r="A87" s="79" t="s">
        <v>209</v>
      </c>
      <c r="B87" t="s">
        <v>99</v>
      </c>
      <c r="C87" s="81" t="str">
        <f t="shared" si="14"/>
        <v>Wiveliscombe Short</v>
      </c>
      <c r="D87" t="s">
        <v>189</v>
      </c>
      <c r="E87" s="81" t="str">
        <f t="shared" si="0"/>
        <v>John Carter Short</v>
      </c>
      <c r="F87" t="s">
        <v>103</v>
      </c>
      <c r="G87">
        <v>49</v>
      </c>
      <c r="H87">
        <v>22</v>
      </c>
      <c r="I87" s="30">
        <f t="shared" si="61"/>
        <v>3.4282407407407407E-2</v>
      </c>
      <c r="J87" s="7">
        <f t="shared" si="62"/>
        <v>3.4282407407407407E-2</v>
      </c>
      <c r="K87" s="7">
        <f t="shared" si="63"/>
        <v>1</v>
      </c>
      <c r="L87" s="10">
        <f t="shared" si="64"/>
        <v>49.366666666666667</v>
      </c>
      <c r="N87" s="6" t="s">
        <v>34</v>
      </c>
      <c r="O87" s="43">
        <v>450</v>
      </c>
      <c r="P87" s="44"/>
      <c r="Q87" s="45">
        <f t="shared" si="65"/>
        <v>450</v>
      </c>
      <c r="R87" s="45">
        <f>IF(VLOOKUP($A87,events!$B$4:$C$8,2,0)=$Q87,ROUNDDOWN(50-$L87,0),0)</f>
        <v>0</v>
      </c>
      <c r="S87" s="44">
        <f t="shared" si="43"/>
        <v>0</v>
      </c>
      <c r="T87" s="46">
        <f t="shared" si="66"/>
        <v>450</v>
      </c>
      <c r="U87" s="47">
        <f>ROUND($T87*1000/_xlfn.AGGREGATE(14,6,$T$9:$T$115/($C$9:$C$115=$C87),1),0)</f>
        <v>703</v>
      </c>
      <c r="V87" s="47">
        <f>1+COUNTIFS($C$9:$C$115,$C87,$U$9:$U$115,"&gt;"&amp;$U87)</f>
        <v>4</v>
      </c>
      <c r="W87" s="45">
        <f t="shared" si="44"/>
        <v>0.66</v>
      </c>
      <c r="X87" s="46">
        <f t="shared" si="67"/>
        <v>682</v>
      </c>
      <c r="Y87" s="48"/>
      <c r="Z87" s="59">
        <f>ROUND($X87*1000/_xlfn.AGGREGATE(14,6,$X$9:$X$115/($C$9:$C$115=$C87),1),0)+Y87</f>
        <v>853</v>
      </c>
      <c r="AA87" s="48"/>
      <c r="AB87" s="50">
        <f>IF($AA87="d",$B$5+1,1+SUMPRODUCT(($E$9:$E$153=$E87)*($Z$9:$Z$153&gt;$Z87)))</f>
        <v>1</v>
      </c>
      <c r="AC87" s="49">
        <f t="shared" si="68"/>
        <v>853</v>
      </c>
      <c r="AD87">
        <f>COUNTIF($E$9:$E87,$E87)</f>
        <v>2</v>
      </c>
      <c r="AE87" s="35">
        <f>SUMIF($E$9:$E$115,$E87,$AC$9:$AC$115)</f>
        <v>1520</v>
      </c>
      <c r="AF87" s="35">
        <f>IF($AD87&gt;1,0,SUMIF($E$9:$E$115,$E87,$AC$9:$AC$115))</f>
        <v>0</v>
      </c>
      <c r="AG87" s="11">
        <f>IF(Z87=0,"",1+COUNTIFS($C$9:$C$115,$C87,$Z$9:$Z$115,"&gt;"&amp;$Z87))</f>
        <v>6</v>
      </c>
      <c r="AH87" t="str">
        <f t="shared" si="33"/>
        <v>John Carter- QO- M70</v>
      </c>
      <c r="AI87" s="22">
        <f t="shared" si="46"/>
        <v>853</v>
      </c>
    </row>
    <row r="88" spans="1:35" x14ac:dyDescent="0.25">
      <c r="A88" s="79" t="s">
        <v>209</v>
      </c>
      <c r="B88" t="s">
        <v>99</v>
      </c>
      <c r="C88" s="81" t="str">
        <f t="shared" si="14"/>
        <v>Wiveliscombe Short</v>
      </c>
      <c r="D88" t="s">
        <v>160</v>
      </c>
      <c r="E88" s="81" t="str">
        <f t="shared" si="0"/>
        <v>Sarah Hasler Short</v>
      </c>
      <c r="F88" t="s">
        <v>103</v>
      </c>
      <c r="G88">
        <v>49</v>
      </c>
      <c r="H88">
        <v>11</v>
      </c>
      <c r="I88" s="30">
        <f t="shared" si="61"/>
        <v>3.4155092592592591E-2</v>
      </c>
      <c r="J88" s="7">
        <f t="shared" si="62"/>
        <v>3.4155092592592591E-2</v>
      </c>
      <c r="K88" s="7">
        <f t="shared" si="63"/>
        <v>1</v>
      </c>
      <c r="L88" s="10">
        <f t="shared" si="64"/>
        <v>49.183333333333337</v>
      </c>
      <c r="N88" s="6" t="s">
        <v>29</v>
      </c>
      <c r="O88" s="43">
        <v>410</v>
      </c>
      <c r="P88" s="44"/>
      <c r="Q88" s="45">
        <f t="shared" si="65"/>
        <v>410</v>
      </c>
      <c r="R88" s="45">
        <f>IF(VLOOKUP($A88,events!$B$4:$C$8,2,0)=$Q88,ROUNDDOWN(50-$L88,0),0)</f>
        <v>0</v>
      </c>
      <c r="S88" s="44">
        <f t="shared" si="43"/>
        <v>0</v>
      </c>
      <c r="T88" s="46">
        <f t="shared" si="66"/>
        <v>410</v>
      </c>
      <c r="U88" s="47">
        <f>ROUND($T88*1000/_xlfn.AGGREGATE(14,6,$T$9:$T$115/($C$9:$C$115=$C88),1),0)</f>
        <v>641</v>
      </c>
      <c r="V88" s="47">
        <f>1+COUNTIFS($C$9:$C$115,$C88,$U$9:$U$115,"&gt;"&amp;$U88)</f>
        <v>6</v>
      </c>
      <c r="W88" s="45">
        <f t="shared" si="44"/>
        <v>0.7</v>
      </c>
      <c r="X88" s="46">
        <f t="shared" si="67"/>
        <v>586</v>
      </c>
      <c r="Y88" s="48"/>
      <c r="Z88" s="59">
        <f>ROUND($X88*1000/_xlfn.AGGREGATE(14,6,$X$9:$X$115/($C$9:$C$115=$C88),1),0)+Y88</f>
        <v>733</v>
      </c>
      <c r="AA88" s="48"/>
      <c r="AB88" s="50">
        <f>IF($AA88="d",$B$5+1,1+SUMPRODUCT(($E$9:$E$153=$E88)*($Z$9:$Z$153&gt;$Z88)))</f>
        <v>1</v>
      </c>
      <c r="AC88" s="49">
        <f t="shared" si="68"/>
        <v>733</v>
      </c>
      <c r="AD88">
        <f>COUNTIF($E$9:$E88,$E88)</f>
        <v>4</v>
      </c>
      <c r="AE88" s="35">
        <f>SUMIF($E$9:$E$115,$E88,$AC$9:$AC$115)</f>
        <v>1850</v>
      </c>
      <c r="AF88" s="35">
        <f>IF($AD88&gt;1,0,SUMIF($E$9:$E$115,$E88,$AC$9:$AC$115))</f>
        <v>0</v>
      </c>
      <c r="AG88" s="11">
        <f>IF(Z88=0,"",1+COUNTIFS($C$9:$C$115,$C88,$Z$9:$Z$115,"&gt;"&amp;$Z88))</f>
        <v>8</v>
      </c>
      <c r="AH88" t="str">
        <f t="shared" si="33"/>
        <v>Sarah Hasler- QO- W55</v>
      </c>
      <c r="AI88" s="22">
        <f t="shared" si="46"/>
        <v>733</v>
      </c>
    </row>
    <row r="89" spans="1:35" x14ac:dyDescent="0.25">
      <c r="A89" s="79" t="s">
        <v>209</v>
      </c>
      <c r="B89" t="s">
        <v>99</v>
      </c>
      <c r="C89" s="81" t="str">
        <f t="shared" si="14"/>
        <v>Wiveliscombe Short</v>
      </c>
      <c r="D89" t="s">
        <v>190</v>
      </c>
      <c r="E89" s="81" t="str">
        <f t="shared" si="0"/>
        <v>Roger Craddock Short</v>
      </c>
      <c r="F89" t="s">
        <v>103</v>
      </c>
      <c r="G89">
        <v>50</v>
      </c>
      <c r="H89">
        <v>30</v>
      </c>
      <c r="I89" s="30">
        <f t="shared" si="61"/>
        <v>3.5069444444444445E-2</v>
      </c>
      <c r="J89" s="7">
        <f t="shared" si="62"/>
        <v>3.5069444444444445E-2</v>
      </c>
      <c r="K89" s="7">
        <f t="shared" si="63"/>
        <v>1</v>
      </c>
      <c r="L89" s="10">
        <f t="shared" si="64"/>
        <v>50.5</v>
      </c>
      <c r="N89" s="6" t="s">
        <v>39</v>
      </c>
      <c r="O89" s="43">
        <v>380</v>
      </c>
      <c r="P89" s="44">
        <v>30</v>
      </c>
      <c r="Q89" s="45">
        <f t="shared" si="65"/>
        <v>350</v>
      </c>
      <c r="R89" s="45">
        <f>IF(VLOOKUP($A89,events!$B$4:$C$8,2,0)=$Q89,ROUNDDOWN(50-$L89,0),0)</f>
        <v>0</v>
      </c>
      <c r="S89" s="44">
        <f t="shared" si="43"/>
        <v>0</v>
      </c>
      <c r="T89" s="46">
        <f t="shared" si="66"/>
        <v>350</v>
      </c>
      <c r="U89" s="47">
        <f>ROUND($T89*1000/_xlfn.AGGREGATE(14,6,$T$9:$T$115/($C$9:$C$115=$C89),1),0)</f>
        <v>547</v>
      </c>
      <c r="V89" s="47">
        <f>1+COUNTIFS($C$9:$C$115,$C89,$U$9:$U$115,"&gt;"&amp;$U89)</f>
        <v>7</v>
      </c>
      <c r="W89" s="45">
        <f t="shared" si="44"/>
        <v>0.55000000000000004</v>
      </c>
      <c r="X89" s="46">
        <f t="shared" si="67"/>
        <v>636</v>
      </c>
      <c r="Y89" s="48"/>
      <c r="Z89" s="59">
        <f>ROUND($X89*1000/_xlfn.AGGREGATE(14,6,$X$9:$X$115/($C$9:$C$115=$C89),1),0)+Y89</f>
        <v>795</v>
      </c>
      <c r="AA89" s="48"/>
      <c r="AB89" s="50">
        <f>IF($AA89="d",$B$5+1,1+SUMPRODUCT(($E$9:$E$153=$E89)*($Z$9:$Z$153&gt;$Z89)))</f>
        <v>2</v>
      </c>
      <c r="AC89" s="49">
        <f t="shared" si="68"/>
        <v>795</v>
      </c>
      <c r="AD89">
        <f>COUNTIF($E$9:$E89,$E89)</f>
        <v>3</v>
      </c>
      <c r="AE89" s="35">
        <f>SUMIF($E$9:$E$115,$E89,$AC$9:$AC$115)</f>
        <v>2260</v>
      </c>
      <c r="AF89" s="35">
        <f>IF($AD89&gt;1,0,SUMIF($E$9:$E$115,$E89,$AC$9:$AC$115))</f>
        <v>0</v>
      </c>
      <c r="AG89" s="11">
        <f>IF(Z89=0,"",1+COUNTIFS($C$9:$C$115,$C89,$Z$9:$Z$115,"&gt;"&amp;$Z89))</f>
        <v>7</v>
      </c>
      <c r="AH89" t="str">
        <f t="shared" si="33"/>
        <v>Roger Craddock- QO- M80</v>
      </c>
      <c r="AI89" s="22">
        <f t="shared" si="46"/>
        <v>795</v>
      </c>
    </row>
    <row r="90" spans="1:35" x14ac:dyDescent="0.25">
      <c r="A90" s="79" t="s">
        <v>209</v>
      </c>
      <c r="B90" t="s">
        <v>99</v>
      </c>
      <c r="C90" s="81" t="str">
        <f t="shared" si="14"/>
        <v>Wiveliscombe Short</v>
      </c>
      <c r="D90" t="s">
        <v>205</v>
      </c>
      <c r="E90" s="81" t="str">
        <f t="shared" si="0"/>
        <v>Vikki Page Short</v>
      </c>
      <c r="F90" t="s">
        <v>103</v>
      </c>
      <c r="G90">
        <v>52</v>
      </c>
      <c r="H90">
        <v>40</v>
      </c>
      <c r="I90" s="30">
        <f t="shared" si="61"/>
        <v>3.6574074074074071E-2</v>
      </c>
      <c r="J90" s="7">
        <f t="shared" si="62"/>
        <v>3.6574074074074071E-2</v>
      </c>
      <c r="K90" s="7">
        <f t="shared" si="63"/>
        <v>1</v>
      </c>
      <c r="L90" s="10">
        <f t="shared" si="64"/>
        <v>52.666666666666664</v>
      </c>
      <c r="N90" s="6" t="s">
        <v>25</v>
      </c>
      <c r="O90" s="43">
        <v>400</v>
      </c>
      <c r="P90" s="44">
        <v>90</v>
      </c>
      <c r="Q90" s="45">
        <f t="shared" si="65"/>
        <v>310</v>
      </c>
      <c r="R90" s="45">
        <f>IF(VLOOKUP($A90,events!$B$4:$C$8,2,0)=$Q90,ROUNDDOWN(50-$L90,0),0)</f>
        <v>0</v>
      </c>
      <c r="S90" s="44">
        <f t="shared" si="43"/>
        <v>0</v>
      </c>
      <c r="T90" s="46">
        <f t="shared" si="66"/>
        <v>310</v>
      </c>
      <c r="U90" s="47">
        <f>ROUND($T90*1000/_xlfn.AGGREGATE(14,6,$T$9:$T$115/($C$9:$C$115=$C90),1),0)</f>
        <v>484</v>
      </c>
      <c r="V90" s="47">
        <f>1+COUNTIFS($C$9:$C$115,$C90,$U$9:$U$115,"&gt;"&amp;$U90)</f>
        <v>8</v>
      </c>
      <c r="W90" s="45">
        <f t="shared" si="44"/>
        <v>0.79</v>
      </c>
      <c r="X90" s="46">
        <f t="shared" si="67"/>
        <v>392</v>
      </c>
      <c r="Y90" s="48"/>
      <c r="Z90" s="59">
        <f>ROUND($X90*1000/_xlfn.AGGREGATE(14,6,$X$9:$X$115/($C$9:$C$115=$C90),1),0)+Y90</f>
        <v>490</v>
      </c>
      <c r="AA90" s="48"/>
      <c r="AB90" s="50">
        <f>IF($AA90="d",$B$5+1,1+SUMPRODUCT(($E$9:$E$153=$E90)*($Z$9:$Z$153&gt;$Z90)))</f>
        <v>3</v>
      </c>
      <c r="AC90" s="49">
        <f t="shared" si="68"/>
        <v>490</v>
      </c>
      <c r="AD90">
        <f>COUNTIF($E$9:$E90,$E90)</f>
        <v>2</v>
      </c>
      <c r="AE90" s="35">
        <f>SUMIF($E$9:$E$115,$E90,$AC$9:$AC$115)</f>
        <v>2035</v>
      </c>
      <c r="AF90" s="35">
        <f>IF($AD90&gt;1,0,SUMIF($E$9:$E$115,$E90,$AC$9:$AC$115))</f>
        <v>0</v>
      </c>
      <c r="AG90" s="11">
        <f>IF(Z90=0,"",1+COUNTIFS($C$9:$C$115,$C90,$Z$9:$Z$115,"&gt;"&amp;$Z90))</f>
        <v>11</v>
      </c>
      <c r="AH90" t="str">
        <f t="shared" si="33"/>
        <v>Vikki Page- QO- W45</v>
      </c>
      <c r="AI90" s="22">
        <f t="shared" si="46"/>
        <v>490</v>
      </c>
    </row>
    <row r="91" spans="1:35" x14ac:dyDescent="0.25">
      <c r="A91" s="79" t="s">
        <v>209</v>
      </c>
      <c r="B91" t="s">
        <v>99</v>
      </c>
      <c r="C91" s="81" t="str">
        <f t="shared" si="14"/>
        <v>Wiveliscombe Short</v>
      </c>
      <c r="D91" t="s">
        <v>206</v>
      </c>
      <c r="E91" s="81" t="str">
        <f t="shared" si="0"/>
        <v>John Trayler Short</v>
      </c>
      <c r="F91" t="s">
        <v>103</v>
      </c>
      <c r="G91">
        <v>52</v>
      </c>
      <c r="H91">
        <v>27</v>
      </c>
      <c r="I91" s="30">
        <f t="shared" si="61"/>
        <v>3.6423611111111115E-2</v>
      </c>
      <c r="J91" s="7">
        <f t="shared" si="62"/>
        <v>3.6423611111111115E-2</v>
      </c>
      <c r="K91" s="7">
        <f t="shared" si="63"/>
        <v>1</v>
      </c>
      <c r="L91" s="10">
        <f t="shared" si="64"/>
        <v>52.45</v>
      </c>
      <c r="N91" s="6" t="s">
        <v>36</v>
      </c>
      <c r="O91" s="43">
        <v>330</v>
      </c>
      <c r="P91" s="44">
        <v>90</v>
      </c>
      <c r="Q91" s="45">
        <f t="shared" si="65"/>
        <v>240</v>
      </c>
      <c r="R91" s="45">
        <f>IF(VLOOKUP($A91,events!$B$4:$C$8,2,0)=$Q91,ROUNDDOWN(50-$L91,0),0)</f>
        <v>0</v>
      </c>
      <c r="S91" s="44">
        <f t="shared" si="43"/>
        <v>0</v>
      </c>
      <c r="T91" s="46">
        <f t="shared" si="66"/>
        <v>240</v>
      </c>
      <c r="U91" s="47">
        <f>ROUND($T91*1000/_xlfn.AGGREGATE(14,6,$T$9:$T$115/($C$9:$C$115=$C91),1),0)</f>
        <v>375</v>
      </c>
      <c r="V91" s="47">
        <f>1+COUNTIFS($C$9:$C$115,$C91,$U$9:$U$115,"&gt;"&amp;$U91)</f>
        <v>9</v>
      </c>
      <c r="W91" s="45">
        <f t="shared" si="44"/>
        <v>0.6</v>
      </c>
      <c r="X91" s="46">
        <f t="shared" si="67"/>
        <v>400</v>
      </c>
      <c r="Y91" s="48"/>
      <c r="Z91" s="59">
        <f>ROUND($X91*1000/_xlfn.AGGREGATE(14,6,$X$9:$X$115/($C$9:$C$115=$C91),1),0)+Y91</f>
        <v>500</v>
      </c>
      <c r="AA91" s="48"/>
      <c r="AB91" s="50">
        <f>IF($AA91="d",$B$5+1,1+SUMPRODUCT(($E$9:$E$153=$E91)*($Z$9:$Z$153&gt;$Z91)))</f>
        <v>3</v>
      </c>
      <c r="AC91" s="49">
        <f t="shared" si="68"/>
        <v>500</v>
      </c>
      <c r="AD91">
        <f>COUNTIF($E$9:$E91,$E91)</f>
        <v>2</v>
      </c>
      <c r="AE91" s="35">
        <f>SUMIF($E$9:$E$115,$E91,$AC$9:$AC$115)</f>
        <v>1775</v>
      </c>
      <c r="AF91" s="35">
        <f>IF($AD91&gt;1,0,SUMIF($E$9:$E$115,$E91,$AC$9:$AC$115))</f>
        <v>0</v>
      </c>
      <c r="AG91" s="11">
        <f>IF(Z91=0,"",1+COUNTIFS($C$9:$C$115,$C91,$Z$9:$Z$115,"&gt;"&amp;$Z91))</f>
        <v>10</v>
      </c>
      <c r="AH91" t="str">
        <f t="shared" si="33"/>
        <v>John Trayler- QO- M75</v>
      </c>
      <c r="AI91" s="22">
        <f t="shared" si="46"/>
        <v>500</v>
      </c>
    </row>
    <row r="92" spans="1:35" x14ac:dyDescent="0.25">
      <c r="A92" s="79" t="s">
        <v>209</v>
      </c>
      <c r="B92" t="s">
        <v>99</v>
      </c>
      <c r="C92" s="81" t="str">
        <f t="shared" si="14"/>
        <v>Wiveliscombe Short</v>
      </c>
      <c r="D92" t="s">
        <v>102</v>
      </c>
      <c r="E92" s="81" t="str">
        <f t="shared" si="0"/>
        <v>Andy Rimes Short</v>
      </c>
      <c r="F92" t="s">
        <v>103</v>
      </c>
      <c r="I92" s="30" t="str">
        <f t="shared" si="61"/>
        <v/>
      </c>
      <c r="J92" s="7" t="str">
        <f t="shared" si="62"/>
        <v/>
      </c>
      <c r="K92" s="7">
        <f t="shared" si="63"/>
        <v>1.6666666666666666E-2</v>
      </c>
      <c r="L92" s="10" t="e">
        <f t="shared" si="64"/>
        <v>#VALUE!</v>
      </c>
      <c r="N92" s="6" t="s">
        <v>28</v>
      </c>
      <c r="O92" s="43"/>
      <c r="P92" s="44"/>
      <c r="Q92" s="45">
        <f t="shared" si="65"/>
        <v>0</v>
      </c>
      <c r="R92" s="45">
        <f>IF(VLOOKUP($A92,events!$B$4:$C$8,2,0)=$Q92,ROUNDDOWN(50-$L92,0),0)</f>
        <v>0</v>
      </c>
      <c r="S92" s="44">
        <f t="shared" si="43"/>
        <v>0</v>
      </c>
      <c r="T92" s="46">
        <f t="shared" si="66"/>
        <v>0</v>
      </c>
      <c r="U92" s="47">
        <f>ROUND($T92*1000/_xlfn.AGGREGATE(14,6,$T$9:$T$115/($C$9:$C$115=$C92),1),0)</f>
        <v>0</v>
      </c>
      <c r="V92" s="47">
        <f>1+COUNTIFS($C$9:$C$115,$C92,$U$9:$U$115,"&gt;"&amp;$U92)</f>
        <v>10</v>
      </c>
      <c r="W92" s="45">
        <f t="shared" si="44"/>
        <v>0.82</v>
      </c>
      <c r="X92" s="46">
        <f t="shared" si="67"/>
        <v>0</v>
      </c>
      <c r="Y92" s="48">
        <v>911</v>
      </c>
      <c r="Z92" s="59">
        <f>ROUND($X92*1000/_xlfn.AGGREGATE(14,6,$X$9:$X$115/($C$9:$C$115=$C92),1),0)+Y92</f>
        <v>911</v>
      </c>
      <c r="AA92" s="48"/>
      <c r="AB92" s="50">
        <f>IF($AA92="d",$B$5+1,1+SUMPRODUCT(($E$9:$E$153=$E92)*($Z$9:$Z$153&gt;$Z92)))</f>
        <v>3</v>
      </c>
      <c r="AC92" s="49">
        <f t="shared" si="68"/>
        <v>911</v>
      </c>
      <c r="AD92">
        <f>COUNTIF($E$9:$E92,$E92)</f>
        <v>4</v>
      </c>
      <c r="AE92" s="35">
        <f>SUMIF($E$9:$E$115,$E92,$AC$9:$AC$115)</f>
        <v>2836</v>
      </c>
      <c r="AF92" s="35">
        <f>IF($AD92&gt;1,0,SUMIF($E$9:$E$115,$E92,$AC$9:$AC$115))</f>
        <v>0</v>
      </c>
      <c r="AG92" s="11">
        <f>IF(Z92=0,"",1+COUNTIFS($C$9:$C$115,$C92,$Z$9:$Z$115,"&gt;"&amp;$Z92))</f>
        <v>3</v>
      </c>
      <c r="AH92" t="str">
        <f t="shared" si="33"/>
        <v>Andy Rimes- QO- M55</v>
      </c>
      <c r="AI92" s="22">
        <f t="shared" si="46"/>
        <v>911</v>
      </c>
    </row>
    <row r="93" spans="1:35" x14ac:dyDescent="0.25">
      <c r="A93" s="79" t="s">
        <v>209</v>
      </c>
      <c r="B93" t="s">
        <v>99</v>
      </c>
      <c r="C93" s="81" t="str">
        <f>CONCATENATE($A93," ",$B93)</f>
        <v>Wiveliscombe Short</v>
      </c>
      <c r="D93" t="s">
        <v>150</v>
      </c>
      <c r="E93" s="81" t="str">
        <f>CONCATENATE($D93," ",$B93)</f>
        <v>Rosie Wych Short</v>
      </c>
      <c r="F93" t="s">
        <v>103</v>
      </c>
      <c r="I93" s="30" t="str">
        <f t="shared" si="61"/>
        <v/>
      </c>
      <c r="J93" s="7" t="str">
        <f>I93</f>
        <v/>
      </c>
      <c r="K93" s="7">
        <f>IF(I93&gt;0.4,1/60,1)</f>
        <v>1.6666666666666666E-2</v>
      </c>
      <c r="L93" s="10" t="e">
        <f>I93*K93*24*60</f>
        <v>#VALUE!</v>
      </c>
      <c r="N93" s="6" t="s">
        <v>33</v>
      </c>
      <c r="O93" s="43"/>
      <c r="P93" s="44"/>
      <c r="Q93" s="45">
        <f>O93-P93</f>
        <v>0</v>
      </c>
      <c r="R93" s="45">
        <f>IF(VLOOKUP($A93,events!$B$4:$C$8,2,0)=$Q93,ROUNDDOWN(50-$L93,0),0)</f>
        <v>0</v>
      </c>
      <c r="S93" s="44">
        <f>$R93*$S$7</f>
        <v>0</v>
      </c>
      <c r="T93" s="46">
        <f>Q93+S93</f>
        <v>0</v>
      </c>
      <c r="U93" s="47">
        <f>ROUND($T93*1000/_xlfn.AGGREGATE(14,6,$T$9:$T$115/($C$9:$C$115=$C93),1),0)</f>
        <v>0</v>
      </c>
      <c r="V93" s="47">
        <f>1+COUNTIFS($C$9:$C$115,$C93,$U$9:$U$115,"&gt;"&amp;$U93)</f>
        <v>10</v>
      </c>
      <c r="W93" s="45">
        <f>VLOOKUP($N93,HANDI,2,0)</f>
        <v>0.61</v>
      </c>
      <c r="X93" s="46">
        <f>ROUND(T93/W93,0)</f>
        <v>0</v>
      </c>
      <c r="Y93" s="48">
        <v>970</v>
      </c>
      <c r="Z93" s="59">
        <f>ROUND($X93*1000/_xlfn.AGGREGATE(14,6,$X$9:$X$115/($C$9:$C$115=$C93),1),0)+Y93</f>
        <v>970</v>
      </c>
      <c r="AA93" s="48"/>
      <c r="AB93" s="50">
        <f>IF($AA93="d",$B$5+1,1+SUMPRODUCT(($E$9:$E$153=$E93)*($Z$9:$Z$153&gt;$Z93)))</f>
        <v>3</v>
      </c>
      <c r="AC93" s="49">
        <f>IF(OR(F93="IND",$AB93&gt;$B$4),"",Z93)</f>
        <v>970</v>
      </c>
      <c r="AD93">
        <f>COUNTIF($E$9:$E115,$E93)</f>
        <v>4</v>
      </c>
      <c r="AE93" s="35">
        <f>SUMIF($E$9:$E$115,$E93,$AC$9:$AC$115)</f>
        <v>2923</v>
      </c>
      <c r="AF93" s="35">
        <f>IF($AD93&gt;1,0,SUMIF($E$9:$E$115,$E93,$AC$9:$AC$115))</f>
        <v>0</v>
      </c>
      <c r="AG93" s="11">
        <f>IF(Z93=0,"",1+COUNTIFS($C$9:$C$115,$C93,$Z$9:$Z$115,"&gt;"&amp;$Z93))</f>
        <v>2</v>
      </c>
      <c r="AH93" t="str">
        <f>CONCATENATE($D93,"- ",$F93,"- ",IF($M93="",$N93,$M93))</f>
        <v>Rosie Wych- QO- W65</v>
      </c>
      <c r="AI93" s="22">
        <f>$AC93</f>
        <v>970</v>
      </c>
    </row>
    <row r="94" spans="1:35" x14ac:dyDescent="0.25">
      <c r="A94" s="79" t="s">
        <v>222</v>
      </c>
      <c r="B94" t="s">
        <v>3</v>
      </c>
      <c r="C94" s="81" t="str">
        <f t="shared" si="14"/>
        <v>Taunton Wilton Long</v>
      </c>
      <c r="D94" t="s">
        <v>183</v>
      </c>
      <c r="E94" s="81" t="str">
        <f t="shared" si="0"/>
        <v>Adam Fieldhouse Long</v>
      </c>
      <c r="F94" t="s">
        <v>103</v>
      </c>
      <c r="G94">
        <v>50</v>
      </c>
      <c r="H94">
        <v>1</v>
      </c>
      <c r="I94" s="30">
        <f t="shared" si="61"/>
        <v>3.4733796296296297E-2</v>
      </c>
      <c r="J94" s="7">
        <f t="shared" ref="J94:J115" si="77">I94</f>
        <v>3.4733796296296297E-2</v>
      </c>
      <c r="K94" s="7">
        <f t="shared" ref="K94:K115" si="78">IF(I94&gt;0.4,1/60,1)</f>
        <v>1</v>
      </c>
      <c r="L94" s="10">
        <f t="shared" ref="L94:L115" si="79">I94*K94*24*60</f>
        <v>50.016666666666666</v>
      </c>
      <c r="N94" s="6" t="s">
        <v>18</v>
      </c>
      <c r="O94" s="43">
        <v>980</v>
      </c>
      <c r="P94" s="44">
        <v>30</v>
      </c>
      <c r="Q94" s="45">
        <f t="shared" ref="Q94:Q115" si="80">O94-P94</f>
        <v>950</v>
      </c>
      <c r="R94" s="45">
        <f>IF(VLOOKUP($A94,events!$B$4:$C$8,2,0)=$Q94,ROUNDDOWN(50-$L94,0),0)</f>
        <v>0</v>
      </c>
      <c r="S94" s="44">
        <f t="shared" si="43"/>
        <v>0</v>
      </c>
      <c r="T94" s="46">
        <f t="shared" ref="T94:T115" si="81">Q94+S94</f>
        <v>950</v>
      </c>
      <c r="U94" s="47">
        <f>ROUND($T94*1000/_xlfn.AGGREGATE(14,6,$T$9:$T$115/($C$9:$C$115=$C94),1),0)</f>
        <v>1000</v>
      </c>
      <c r="V94" s="47">
        <f>1+COUNTIFS($C$9:$C$115,$C94,$U$9:$U$115,"&gt;"&amp;$U94)</f>
        <v>1</v>
      </c>
      <c r="W94" s="45">
        <f t="shared" si="44"/>
        <v>1</v>
      </c>
      <c r="X94" s="46">
        <f t="shared" ref="X94:X115" si="82">ROUND(T94/W94,0)</f>
        <v>950</v>
      </c>
      <c r="Y94" s="48"/>
      <c r="Z94" s="59">
        <f>ROUND($X94*1000/_xlfn.AGGREGATE(14,6,$X$9:$X$115/($C$9:$C$115=$C94),1),0)+Y94</f>
        <v>831</v>
      </c>
      <c r="AA94" s="48"/>
      <c r="AB94" s="50">
        <f>IF($AA94="d",$B$5+1,1+SUMPRODUCT(($E$9:$E$153=$E94)*($Z$9:$Z$153&gt;$Z94)))</f>
        <v>3</v>
      </c>
      <c r="AC94" s="49">
        <f t="shared" ref="AC94:AC115" si="83">IF(OR(F94="IND",$AB94&gt;$B$4),"",Z94)</f>
        <v>831</v>
      </c>
      <c r="AD94">
        <f>COUNTIF($E$9:$E94,$E94)</f>
        <v>4</v>
      </c>
      <c r="AE94" s="35">
        <f>SUMIF($E$9:$E$115,$E94,$AC$9:$AC$115)</f>
        <v>2719</v>
      </c>
      <c r="AF94" s="35">
        <f>IF($AD94&gt;1,0,SUMIF($E$9:$E$115,$E94,$AC$9:$AC$115))</f>
        <v>0</v>
      </c>
      <c r="AG94" s="11">
        <f>IF(Z94=0,"",1+COUNTIFS($C$9:$C$115,$C94,$Z$9:$Z$115,"&gt;"&amp;$Z94))</f>
        <v>5</v>
      </c>
      <c r="AH94" t="str">
        <f t="shared" si="33"/>
        <v>Adam Fieldhouse- QO- M21</v>
      </c>
      <c r="AI94" s="22">
        <f t="shared" si="46"/>
        <v>831</v>
      </c>
    </row>
    <row r="95" spans="1:35" x14ac:dyDescent="0.25">
      <c r="A95" s="79" t="s">
        <v>222</v>
      </c>
      <c r="B95" t="s">
        <v>3</v>
      </c>
      <c r="C95" s="81" t="str">
        <f t="shared" si="14"/>
        <v>Taunton Wilton Long</v>
      </c>
      <c r="D95" t="s">
        <v>197</v>
      </c>
      <c r="E95" s="81" t="str">
        <f t="shared" si="0"/>
        <v>Matt Atkins Long</v>
      </c>
      <c r="F95" t="s">
        <v>168</v>
      </c>
      <c r="G95">
        <v>46</v>
      </c>
      <c r="H95">
        <v>39</v>
      </c>
      <c r="I95" s="30">
        <f t="shared" si="61"/>
        <v>3.2395833333333332E-2</v>
      </c>
      <c r="J95" s="7">
        <f t="shared" si="77"/>
        <v>3.2395833333333332E-2</v>
      </c>
      <c r="K95" s="7">
        <f t="shared" si="78"/>
        <v>1</v>
      </c>
      <c r="L95" s="10">
        <f t="shared" si="79"/>
        <v>46.65</v>
      </c>
      <c r="N95" s="6" t="s">
        <v>26</v>
      </c>
      <c r="O95" s="43">
        <v>920</v>
      </c>
      <c r="P95" s="44"/>
      <c r="Q95" s="45">
        <f t="shared" si="80"/>
        <v>920</v>
      </c>
      <c r="R95" s="45">
        <f>IF(VLOOKUP($A95,events!$B$4:$C$8,2,0)=$Q95,ROUNDDOWN(50-$L95,0),0)</f>
        <v>0</v>
      </c>
      <c r="S95" s="44">
        <f t="shared" si="43"/>
        <v>0</v>
      </c>
      <c r="T95" s="46">
        <f t="shared" si="81"/>
        <v>920</v>
      </c>
      <c r="U95" s="47">
        <f>ROUND($T95*1000/_xlfn.AGGREGATE(14,6,$T$9:$T$115/($C$9:$C$115=$C95),1),0)</f>
        <v>968</v>
      </c>
      <c r="V95" s="47">
        <f>1+COUNTIFS($C$9:$C$115,$C95,$U$9:$U$115,"&gt;"&amp;$U95)</f>
        <v>2</v>
      </c>
      <c r="W95" s="45">
        <f t="shared" si="44"/>
        <v>0.85</v>
      </c>
      <c r="X95" s="46">
        <f t="shared" si="82"/>
        <v>1082</v>
      </c>
      <c r="Y95" s="48"/>
      <c r="Z95" s="59">
        <f>ROUND($X95*1000/_xlfn.AGGREGATE(14,6,$X$9:$X$115/($C$9:$C$115=$C95),1),0)+Y95</f>
        <v>947</v>
      </c>
      <c r="AA95" s="48"/>
      <c r="AB95" s="50">
        <f>IF($AA95="d",$B$5+1,1+SUMPRODUCT(($E$9:$E$153=$E95)*($Z$9:$Z$153&gt;$Z95)))</f>
        <v>2</v>
      </c>
      <c r="AC95" s="49">
        <f t="shared" si="83"/>
        <v>947</v>
      </c>
      <c r="AD95">
        <f>COUNTIF($E$9:$E95,$E95)</f>
        <v>3</v>
      </c>
      <c r="AE95" s="35">
        <f>SUMIF($E$9:$E$115,$E95,$AC$9:$AC$115)</f>
        <v>2842</v>
      </c>
      <c r="AF95" s="35">
        <f>IF($AD95&gt;1,0,SUMIF($E$9:$E$115,$E95,$AC$9:$AC$115))</f>
        <v>0</v>
      </c>
      <c r="AG95" s="11">
        <f>IF(Z95=0,"",1+COUNTIFS($C$9:$C$115,$C95,$Z$9:$Z$115,"&gt;"&amp;$Z95))</f>
        <v>2</v>
      </c>
      <c r="AH95" t="str">
        <f t="shared" si="33"/>
        <v>Matt Atkins- Devon- M50</v>
      </c>
      <c r="AI95" s="22">
        <f t="shared" si="46"/>
        <v>947</v>
      </c>
    </row>
    <row r="96" spans="1:35" x14ac:dyDescent="0.25">
      <c r="A96" s="79" t="s">
        <v>222</v>
      </c>
      <c r="B96" t="s">
        <v>3</v>
      </c>
      <c r="C96" s="81" t="str">
        <f t="shared" si="14"/>
        <v>Taunton Wilton Long</v>
      </c>
      <c r="D96" t="s">
        <v>108</v>
      </c>
      <c r="E96" s="81" t="str">
        <f t="shared" si="0"/>
        <v>Robin Fieldhouse Long</v>
      </c>
      <c r="F96" t="s">
        <v>103</v>
      </c>
      <c r="G96">
        <v>49</v>
      </c>
      <c r="H96">
        <v>55</v>
      </c>
      <c r="I96" s="30">
        <f t="shared" si="61"/>
        <v>3.4664351851851849E-2</v>
      </c>
      <c r="J96" s="7">
        <f t="shared" si="77"/>
        <v>3.4664351851851849E-2</v>
      </c>
      <c r="K96" s="7">
        <f t="shared" si="78"/>
        <v>1</v>
      </c>
      <c r="L96" s="10">
        <f t="shared" si="79"/>
        <v>49.916666666666664</v>
      </c>
      <c r="N96" s="6" t="s">
        <v>18</v>
      </c>
      <c r="O96" s="43">
        <v>870</v>
      </c>
      <c r="P96" s="44"/>
      <c r="Q96" s="45">
        <f t="shared" si="80"/>
        <v>870</v>
      </c>
      <c r="R96" s="45">
        <f>IF(VLOOKUP($A96,events!$B$4:$C$8,2,0)=$Q96,ROUNDDOWN(50-$L96,0),0)</f>
        <v>0</v>
      </c>
      <c r="S96" s="44">
        <f t="shared" si="43"/>
        <v>0</v>
      </c>
      <c r="T96" s="46">
        <f t="shared" si="81"/>
        <v>870</v>
      </c>
      <c r="U96" s="47">
        <f>ROUND($T96*1000/_xlfn.AGGREGATE(14,6,$T$9:$T$115/($C$9:$C$115=$C96),1),0)</f>
        <v>916</v>
      </c>
      <c r="V96" s="47">
        <f>1+COUNTIFS($C$9:$C$115,$C96,$U$9:$U$115,"&gt;"&amp;$U96)</f>
        <v>3</v>
      </c>
      <c r="W96" s="45">
        <f t="shared" si="44"/>
        <v>1</v>
      </c>
      <c r="X96" s="46">
        <f t="shared" si="82"/>
        <v>870</v>
      </c>
      <c r="Y96" s="48"/>
      <c r="Z96" s="59">
        <f>ROUND($X96*1000/_xlfn.AGGREGATE(14,6,$X$9:$X$115/($C$9:$C$115=$C96),1),0)+Y96</f>
        <v>761</v>
      </c>
      <c r="AA96" s="48"/>
      <c r="AB96" s="50">
        <f>IF($AA96="d",$B$5+1,1+SUMPRODUCT(($E$9:$E$153=$E96)*($Z$9:$Z$153&gt;$Z96)))</f>
        <v>5</v>
      </c>
      <c r="AC96" s="49" t="str">
        <f t="shared" si="83"/>
        <v/>
      </c>
      <c r="AD96">
        <f>COUNTIF($E$9:$E96,$E96)</f>
        <v>5</v>
      </c>
      <c r="AE96" s="35">
        <f>SUMIF($E$9:$E$115,$E96,$AC$9:$AC$115)</f>
        <v>2600</v>
      </c>
      <c r="AF96" s="35">
        <f>IF($AD96&gt;1,0,SUMIF($E$9:$E$115,$E96,$AC$9:$AC$115))</f>
        <v>0</v>
      </c>
      <c r="AG96" s="11">
        <f>IF(Z96=0,"",1+COUNTIFS($C$9:$C$115,$C96,$Z$9:$Z$115,"&gt;"&amp;$Z96))</f>
        <v>9</v>
      </c>
      <c r="AH96" t="str">
        <f t="shared" si="33"/>
        <v>Robin Fieldhouse- QO- M21</v>
      </c>
      <c r="AI96" s="22" t="str">
        <f t="shared" si="46"/>
        <v/>
      </c>
    </row>
    <row r="97" spans="1:35" x14ac:dyDescent="0.25">
      <c r="A97" s="79" t="s">
        <v>222</v>
      </c>
      <c r="B97" t="s">
        <v>3</v>
      </c>
      <c r="C97" s="81" t="str">
        <f t="shared" si="14"/>
        <v>Taunton Wilton Long</v>
      </c>
      <c r="D97" t="s">
        <v>223</v>
      </c>
      <c r="E97" s="81" t="str">
        <f t="shared" si="0"/>
        <v>Paul Chavasse Long</v>
      </c>
      <c r="F97" t="s">
        <v>103</v>
      </c>
      <c r="G97">
        <v>51</v>
      </c>
      <c r="H97">
        <v>56</v>
      </c>
      <c r="I97" s="30">
        <f t="shared" si="61"/>
        <v>3.6064814814814813E-2</v>
      </c>
      <c r="J97" s="7">
        <f t="shared" si="77"/>
        <v>3.6064814814814813E-2</v>
      </c>
      <c r="K97" s="7">
        <f t="shared" si="78"/>
        <v>1</v>
      </c>
      <c r="L97" s="10">
        <f t="shared" si="79"/>
        <v>51.93333333333333</v>
      </c>
      <c r="N97" s="6" t="s">
        <v>28</v>
      </c>
      <c r="O97" s="43">
        <v>910</v>
      </c>
      <c r="P97" s="44">
        <v>60</v>
      </c>
      <c r="Q97" s="45">
        <f t="shared" si="80"/>
        <v>850</v>
      </c>
      <c r="R97" s="45">
        <f>IF(VLOOKUP($A97,events!$B$4:$C$8,2,0)=$Q97,ROUNDDOWN(50-$L97,0),0)</f>
        <v>0</v>
      </c>
      <c r="S97" s="44">
        <f t="shared" si="43"/>
        <v>0</v>
      </c>
      <c r="T97" s="46">
        <f t="shared" si="81"/>
        <v>850</v>
      </c>
      <c r="U97" s="47">
        <f>ROUND($T97*1000/_xlfn.AGGREGATE(14,6,$T$9:$T$115/($C$9:$C$115=$C97),1),0)</f>
        <v>895</v>
      </c>
      <c r="V97" s="47">
        <f>1+COUNTIFS($C$9:$C$115,$C97,$U$9:$U$115,"&gt;"&amp;$U97)</f>
        <v>4</v>
      </c>
      <c r="W97" s="45">
        <f t="shared" si="44"/>
        <v>0.82</v>
      </c>
      <c r="X97" s="46">
        <f t="shared" si="82"/>
        <v>1037</v>
      </c>
      <c r="Y97" s="48"/>
      <c r="Z97" s="59">
        <f>ROUND($X97*1000/_xlfn.AGGREGATE(14,6,$X$9:$X$115/($C$9:$C$115=$C97),1),0)+Y97</f>
        <v>907</v>
      </c>
      <c r="AA97" s="48"/>
      <c r="AB97" s="50">
        <f>IF($AA97="d",$B$5+1,1+SUMPRODUCT(($E$9:$E$153=$E97)*($Z$9:$Z$153&gt;$Z97)))</f>
        <v>1</v>
      </c>
      <c r="AC97" s="49">
        <f t="shared" si="83"/>
        <v>907</v>
      </c>
      <c r="AD97">
        <f>COUNTIF($E$9:$E97,$E97)</f>
        <v>1</v>
      </c>
      <c r="AE97" s="35">
        <f>SUMIF($E$9:$E$115,$E97,$AC$9:$AC$115)</f>
        <v>907</v>
      </c>
      <c r="AF97" s="35">
        <f>IF($AD97&gt;1,0,SUMIF($E$9:$E$115,$E97,$AC$9:$AC$115))</f>
        <v>907</v>
      </c>
      <c r="AG97" s="11">
        <f>IF(Z97=0,"",1+COUNTIFS($C$9:$C$115,$C97,$Z$9:$Z$115,"&gt;"&amp;$Z97))</f>
        <v>3</v>
      </c>
      <c r="AH97" t="str">
        <f t="shared" si="33"/>
        <v>Paul Chavasse- QO- M55</v>
      </c>
      <c r="AI97" s="22">
        <f t="shared" si="46"/>
        <v>907</v>
      </c>
    </row>
    <row r="98" spans="1:35" x14ac:dyDescent="0.25">
      <c r="A98" s="79" t="s">
        <v>222</v>
      </c>
      <c r="B98" t="s">
        <v>3</v>
      </c>
      <c r="C98" s="81" t="str">
        <f t="shared" si="14"/>
        <v>Taunton Wilton Long</v>
      </c>
      <c r="D98" t="s">
        <v>164</v>
      </c>
      <c r="E98" s="81" t="str">
        <f t="shared" si="0"/>
        <v>Andy Bussell Long</v>
      </c>
      <c r="F98" t="s">
        <v>103</v>
      </c>
      <c r="G98">
        <v>40</v>
      </c>
      <c r="H98">
        <v>16</v>
      </c>
      <c r="I98" s="30">
        <f t="shared" si="61"/>
        <v>2.7962962962962964E-2</v>
      </c>
      <c r="J98" s="7">
        <f t="shared" si="77"/>
        <v>2.7962962962962964E-2</v>
      </c>
      <c r="K98" s="7">
        <f t="shared" si="78"/>
        <v>1</v>
      </c>
      <c r="L98" s="10">
        <f t="shared" si="79"/>
        <v>40.266666666666666</v>
      </c>
      <c r="N98" s="6" t="s">
        <v>24</v>
      </c>
      <c r="O98" s="43">
        <v>810</v>
      </c>
      <c r="P98" s="44"/>
      <c r="Q98" s="45">
        <f t="shared" si="80"/>
        <v>810</v>
      </c>
      <c r="R98" s="45">
        <f>IF(VLOOKUP($A98,events!$B$4:$C$8,2,0)=$Q98,ROUNDDOWN(50-$L98,0),0)</f>
        <v>0</v>
      </c>
      <c r="S98" s="44">
        <f t="shared" si="43"/>
        <v>0</v>
      </c>
      <c r="T98" s="46">
        <f t="shared" si="81"/>
        <v>810</v>
      </c>
      <c r="U98" s="47">
        <f>ROUND($T98*1000/_xlfn.AGGREGATE(14,6,$T$9:$T$115/($C$9:$C$115=$C98),1),0)</f>
        <v>853</v>
      </c>
      <c r="V98" s="47">
        <f>1+COUNTIFS($C$9:$C$115,$C98,$U$9:$U$115,"&gt;"&amp;$U98)</f>
        <v>5</v>
      </c>
      <c r="W98" s="45">
        <f t="shared" si="44"/>
        <v>0.89</v>
      </c>
      <c r="X98" s="46">
        <f t="shared" si="82"/>
        <v>910</v>
      </c>
      <c r="Y98" s="48"/>
      <c r="Z98" s="59">
        <f>ROUND($X98*1000/_xlfn.AGGREGATE(14,6,$X$9:$X$115/($C$9:$C$115=$C98),1),0)+Y98</f>
        <v>796</v>
      </c>
      <c r="AA98" s="48"/>
      <c r="AB98" s="50">
        <f>IF($AA98="d",$B$5+1,1+SUMPRODUCT(($E$9:$E$153=$E98)*($Z$9:$Z$153&gt;$Z98)))</f>
        <v>2</v>
      </c>
      <c r="AC98" s="49">
        <f t="shared" si="83"/>
        <v>796</v>
      </c>
      <c r="AD98">
        <f>COUNTIF($E$9:$E98,$E98)</f>
        <v>3</v>
      </c>
      <c r="AE98" s="35">
        <f>SUMIF($E$9:$E$115,$E98,$AC$9:$AC$115)</f>
        <v>2477</v>
      </c>
      <c r="AF98" s="35">
        <f>IF($AD98&gt;1,0,SUMIF($E$9:$E$115,$E98,$AC$9:$AC$115))</f>
        <v>0</v>
      </c>
      <c r="AG98" s="11">
        <f>IF(Z98=0,"",1+COUNTIFS($C$9:$C$115,$C98,$Z$9:$Z$115,"&gt;"&amp;$Z98))</f>
        <v>7</v>
      </c>
      <c r="AH98" t="str">
        <f t="shared" si="33"/>
        <v>Andy Bussell- QO- M45</v>
      </c>
      <c r="AI98" s="22">
        <f t="shared" si="46"/>
        <v>796</v>
      </c>
    </row>
    <row r="99" spans="1:35" x14ac:dyDescent="0.25">
      <c r="A99" s="79" t="s">
        <v>222</v>
      </c>
      <c r="B99" t="s">
        <v>3</v>
      </c>
      <c r="C99" s="81" t="str">
        <f t="shared" si="14"/>
        <v>Taunton Wilton Long</v>
      </c>
      <c r="D99" t="s">
        <v>194</v>
      </c>
      <c r="E99" s="81" t="str">
        <f t="shared" si="0"/>
        <v>Chris Philip Long</v>
      </c>
      <c r="F99" t="s">
        <v>103</v>
      </c>
      <c r="G99">
        <v>46</v>
      </c>
      <c r="H99">
        <v>22</v>
      </c>
      <c r="I99" s="30">
        <f t="shared" si="61"/>
        <v>3.2199074074074074E-2</v>
      </c>
      <c r="J99" s="7">
        <f t="shared" si="77"/>
        <v>3.2199074074074074E-2</v>
      </c>
      <c r="K99" s="7">
        <f t="shared" si="78"/>
        <v>1</v>
      </c>
      <c r="L99" s="10">
        <f t="shared" si="79"/>
        <v>46.366666666666667</v>
      </c>
      <c r="N99" s="6" t="s">
        <v>32</v>
      </c>
      <c r="O99" s="43">
        <v>800</v>
      </c>
      <c r="P99" s="44"/>
      <c r="Q99" s="45">
        <f t="shared" si="80"/>
        <v>800</v>
      </c>
      <c r="R99" s="45">
        <f>IF(VLOOKUP($A99,events!$B$4:$C$8,2,0)=$Q99,ROUNDDOWN(50-$L99,0),0)</f>
        <v>0</v>
      </c>
      <c r="S99" s="44">
        <f t="shared" si="43"/>
        <v>0</v>
      </c>
      <c r="T99" s="46">
        <f t="shared" si="81"/>
        <v>800</v>
      </c>
      <c r="U99" s="47">
        <f>ROUND($T99*1000/_xlfn.AGGREGATE(14,6,$T$9:$T$115/($C$9:$C$115=$C99),1),0)</f>
        <v>842</v>
      </c>
      <c r="V99" s="47">
        <f>1+COUNTIFS($C$9:$C$115,$C99,$U$9:$U$115,"&gt;"&amp;$U99)</f>
        <v>6</v>
      </c>
      <c r="W99" s="45">
        <f t="shared" si="44"/>
        <v>0.7</v>
      </c>
      <c r="X99" s="46">
        <f t="shared" si="82"/>
        <v>1143</v>
      </c>
      <c r="Y99" s="48"/>
      <c r="Z99" s="59">
        <f>ROUND($X99*1000/_xlfn.AGGREGATE(14,6,$X$9:$X$115/($C$9:$C$115=$C99),1),0)+Y99</f>
        <v>1000</v>
      </c>
      <c r="AA99" s="48"/>
      <c r="AB99" s="50">
        <f>IF($AA99="d",$B$5+1,1+SUMPRODUCT(($E$9:$E$153=$E99)*($Z$9:$Z$153&gt;$Z99)))</f>
        <v>1</v>
      </c>
      <c r="AC99" s="49">
        <f t="shared" si="83"/>
        <v>1000</v>
      </c>
      <c r="AD99">
        <f>COUNTIF($E$9:$E99,$E99)</f>
        <v>4</v>
      </c>
      <c r="AE99" s="35">
        <f>SUMIF($E$9:$E$115,$E99,$AC$9:$AC$115)</f>
        <v>2863</v>
      </c>
      <c r="AF99" s="35">
        <f>IF($AD99&gt;1,0,SUMIF($E$9:$E$115,$E99,$AC$9:$AC$115))</f>
        <v>0</v>
      </c>
      <c r="AG99" s="11">
        <f>IF(Z99=0,"",1+COUNTIFS($C$9:$C$115,$C99,$Z$9:$Z$115,"&gt;"&amp;$Z99))</f>
        <v>1</v>
      </c>
      <c r="AH99" t="str">
        <f t="shared" si="33"/>
        <v>Chris Philip- QO- M65</v>
      </c>
      <c r="AI99" s="22">
        <f t="shared" si="46"/>
        <v>1000</v>
      </c>
    </row>
    <row r="100" spans="1:35" x14ac:dyDescent="0.25">
      <c r="A100" s="79" t="s">
        <v>222</v>
      </c>
      <c r="B100" t="s">
        <v>3</v>
      </c>
      <c r="C100" s="81" t="str">
        <f t="shared" si="14"/>
        <v>Taunton Wilton Long</v>
      </c>
      <c r="D100" t="s">
        <v>100</v>
      </c>
      <c r="E100" s="81" t="str">
        <f t="shared" si="0"/>
        <v>Martin Lewis Long</v>
      </c>
      <c r="F100" t="s">
        <v>103</v>
      </c>
      <c r="G100">
        <v>47</v>
      </c>
      <c r="H100">
        <v>0</v>
      </c>
      <c r="I100" s="30">
        <f t="shared" si="61"/>
        <v>3.2638888888888891E-2</v>
      </c>
      <c r="J100" s="7">
        <f t="shared" si="77"/>
        <v>3.2638888888888891E-2</v>
      </c>
      <c r="K100" s="7">
        <f t="shared" si="78"/>
        <v>1</v>
      </c>
      <c r="L100" s="10">
        <f t="shared" si="79"/>
        <v>47.000000000000007</v>
      </c>
      <c r="N100" s="6" t="s">
        <v>26</v>
      </c>
      <c r="O100" s="43">
        <v>750</v>
      </c>
      <c r="P100" s="44"/>
      <c r="Q100" s="45">
        <f t="shared" si="80"/>
        <v>750</v>
      </c>
      <c r="R100" s="45">
        <f>IF(VLOOKUP($A100,events!$B$4:$C$8,2,0)=$Q100,ROUNDDOWN(50-$L100,0),0)</f>
        <v>0</v>
      </c>
      <c r="S100" s="44">
        <f t="shared" si="43"/>
        <v>0</v>
      </c>
      <c r="T100" s="46">
        <f t="shared" si="81"/>
        <v>750</v>
      </c>
      <c r="U100" s="47">
        <f>ROUND($T100*1000/_xlfn.AGGREGATE(14,6,$T$9:$T$115/($C$9:$C$115=$C100),1),0)</f>
        <v>789</v>
      </c>
      <c r="V100" s="47">
        <f>1+COUNTIFS($C$9:$C$115,$C100,$U$9:$U$115,"&gt;"&amp;$U100)</f>
        <v>7</v>
      </c>
      <c r="W100" s="45">
        <f t="shared" si="44"/>
        <v>0.85</v>
      </c>
      <c r="X100" s="46">
        <f t="shared" si="82"/>
        <v>882</v>
      </c>
      <c r="Y100" s="48"/>
      <c r="Z100" s="59">
        <f>ROUND($X100*1000/_xlfn.AGGREGATE(14,6,$X$9:$X$115/($C$9:$C$115=$C100),1),0)+Y100</f>
        <v>772</v>
      </c>
      <c r="AA100" s="48"/>
      <c r="AB100" s="50">
        <f>IF($AA100="d",$B$5+1,1+SUMPRODUCT(($E$9:$E$153=$E100)*($Z$9:$Z$153&gt;$Z100)))</f>
        <v>1</v>
      </c>
      <c r="AC100" s="49">
        <f t="shared" si="83"/>
        <v>772</v>
      </c>
      <c r="AD100">
        <f>COUNTIF($E$9:$E100,$E100)</f>
        <v>2</v>
      </c>
      <c r="AE100" s="35">
        <f>SUMIF($E$9:$E$115,$E100,$AC$9:$AC$115)</f>
        <v>1316</v>
      </c>
      <c r="AF100" s="35">
        <f>IF($AD100&gt;1,0,SUMIF($E$9:$E$115,$E100,$AC$9:$AC$115))</f>
        <v>0</v>
      </c>
      <c r="AG100" s="11">
        <f>IF(Z100=0,"",1+COUNTIFS($C$9:$C$115,$C100,$Z$9:$Z$115,"&gt;"&amp;$Z100))</f>
        <v>8</v>
      </c>
      <c r="AH100" t="str">
        <f t="shared" si="33"/>
        <v>Martin Lewis- QO- M50</v>
      </c>
      <c r="AI100" s="22">
        <f t="shared" si="46"/>
        <v>772</v>
      </c>
    </row>
    <row r="101" spans="1:35" x14ac:dyDescent="0.25">
      <c r="A101" s="79" t="s">
        <v>222</v>
      </c>
      <c r="B101" t="s">
        <v>3</v>
      </c>
      <c r="C101" s="81" t="str">
        <f t="shared" si="14"/>
        <v>Taunton Wilton Long</v>
      </c>
      <c r="D101" t="s">
        <v>187</v>
      </c>
      <c r="E101" s="81" t="str">
        <f t="shared" si="0"/>
        <v>Stephen Lysaczenko Long</v>
      </c>
      <c r="F101" t="s">
        <v>103</v>
      </c>
      <c r="G101">
        <v>46</v>
      </c>
      <c r="H101">
        <v>26</v>
      </c>
      <c r="I101" s="30">
        <f t="shared" si="61"/>
        <v>3.2245370370370369E-2</v>
      </c>
      <c r="J101" s="7">
        <f t="shared" si="77"/>
        <v>3.2245370370370369E-2</v>
      </c>
      <c r="K101" s="7">
        <f t="shared" si="78"/>
        <v>1</v>
      </c>
      <c r="L101" s="10">
        <f t="shared" si="79"/>
        <v>46.43333333333333</v>
      </c>
      <c r="N101" s="6" t="s">
        <v>28</v>
      </c>
      <c r="O101" s="43">
        <v>710</v>
      </c>
      <c r="P101" s="44"/>
      <c r="Q101" s="45">
        <f t="shared" si="80"/>
        <v>710</v>
      </c>
      <c r="R101" s="45">
        <f>IF(VLOOKUP($A101,events!$B$4:$C$8,2,0)=$Q101,ROUNDDOWN(50-$L101,0),0)</f>
        <v>0</v>
      </c>
      <c r="S101" s="44">
        <f t="shared" si="43"/>
        <v>0</v>
      </c>
      <c r="T101" s="46">
        <f t="shared" si="81"/>
        <v>710</v>
      </c>
      <c r="U101" s="47">
        <f>ROUND($T101*1000/_xlfn.AGGREGATE(14,6,$T$9:$T$115/($C$9:$C$115=$C101),1),0)</f>
        <v>747</v>
      </c>
      <c r="V101" s="47">
        <f>1+COUNTIFS($C$9:$C$115,$C101,$U$9:$U$115,"&gt;"&amp;$U101)</f>
        <v>8</v>
      </c>
      <c r="W101" s="45">
        <f t="shared" si="44"/>
        <v>0.82</v>
      </c>
      <c r="X101" s="46">
        <f t="shared" si="82"/>
        <v>866</v>
      </c>
      <c r="Y101" s="48"/>
      <c r="Z101" s="59">
        <f>ROUND($X101*1000/_xlfn.AGGREGATE(14,6,$X$9:$X$115/($C$9:$C$115=$C101),1),0)+Y101</f>
        <v>758</v>
      </c>
      <c r="AA101" s="48"/>
      <c r="AB101" s="50">
        <f>IF($AA101="d",$B$5+1,1+SUMPRODUCT(($E$9:$E$153=$E101)*($Z$9:$Z$153&gt;$Z101)))</f>
        <v>1</v>
      </c>
      <c r="AC101" s="49">
        <f t="shared" si="83"/>
        <v>758</v>
      </c>
      <c r="AD101">
        <f>COUNTIF($E$9:$E101,$E101)</f>
        <v>3</v>
      </c>
      <c r="AE101" s="35">
        <f>SUMIF($E$9:$E$115,$E101,$AC$9:$AC$115)</f>
        <v>1507</v>
      </c>
      <c r="AF101" s="35">
        <f>IF($AD101&gt;1,0,SUMIF($E$9:$E$115,$E101,$AC$9:$AC$115))</f>
        <v>0</v>
      </c>
      <c r="AG101" s="11">
        <f>IF(Z101=0,"",1+COUNTIFS($C$9:$C$115,$C101,$Z$9:$Z$115,"&gt;"&amp;$Z101))</f>
        <v>10</v>
      </c>
      <c r="AH101" t="str">
        <f t="shared" si="33"/>
        <v>Stephen Lysaczenko- QO- M55</v>
      </c>
      <c r="AI101" s="22">
        <f t="shared" si="46"/>
        <v>758</v>
      </c>
    </row>
    <row r="102" spans="1:35" x14ac:dyDescent="0.25">
      <c r="A102" s="79" t="s">
        <v>222</v>
      </c>
      <c r="B102" t="s">
        <v>3</v>
      </c>
      <c r="C102" s="81" t="str">
        <f t="shared" si="14"/>
        <v>Taunton Wilton Long</v>
      </c>
      <c r="D102" t="s">
        <v>165</v>
      </c>
      <c r="E102" s="81" t="str">
        <f t="shared" si="0"/>
        <v>Miffy Treherne Long</v>
      </c>
      <c r="F102" t="s">
        <v>103</v>
      </c>
      <c r="G102">
        <v>49</v>
      </c>
      <c r="H102">
        <v>21</v>
      </c>
      <c r="I102" s="30">
        <f t="shared" si="61"/>
        <v>3.4270833333333334E-2</v>
      </c>
      <c r="J102" s="7">
        <f t="shared" si="77"/>
        <v>3.4270833333333334E-2</v>
      </c>
      <c r="K102" s="7">
        <f t="shared" si="78"/>
        <v>1</v>
      </c>
      <c r="L102" s="10">
        <f t="shared" si="79"/>
        <v>49.35</v>
      </c>
      <c r="N102" s="6" t="s">
        <v>27</v>
      </c>
      <c r="O102" s="43">
        <v>710</v>
      </c>
      <c r="P102" s="44"/>
      <c r="Q102" s="45">
        <f t="shared" si="80"/>
        <v>710</v>
      </c>
      <c r="R102" s="45">
        <f>IF(VLOOKUP($A102,events!$B$4:$C$8,2,0)=$Q102,ROUNDDOWN(50-$L102,0),0)</f>
        <v>0</v>
      </c>
      <c r="S102" s="44">
        <f t="shared" si="43"/>
        <v>0</v>
      </c>
      <c r="T102" s="46">
        <f t="shared" si="81"/>
        <v>710</v>
      </c>
      <c r="U102" s="47">
        <f>ROUND($T102*1000/_xlfn.AGGREGATE(14,6,$T$9:$T$115/($C$9:$C$115=$C102),1),0)</f>
        <v>747</v>
      </c>
      <c r="V102" s="47">
        <f>1+COUNTIFS($C$9:$C$115,$C102,$U$9:$U$115,"&gt;"&amp;$U102)</f>
        <v>8</v>
      </c>
      <c r="W102" s="45">
        <f t="shared" si="44"/>
        <v>0.75</v>
      </c>
      <c r="X102" s="46">
        <f t="shared" si="82"/>
        <v>947</v>
      </c>
      <c r="Y102" s="48"/>
      <c r="Z102" s="59">
        <f>ROUND($X102*1000/_xlfn.AGGREGATE(14,6,$X$9:$X$115/($C$9:$C$115=$C102),1),0)+Y102</f>
        <v>829</v>
      </c>
      <c r="AA102" s="48"/>
      <c r="AB102" s="50">
        <f>IF($AA102="d",$B$5+1,1+SUMPRODUCT(($E$9:$E$153=$E102)*($Z$9:$Z$153&gt;$Z102)))</f>
        <v>2</v>
      </c>
      <c r="AC102" s="49">
        <f t="shared" si="83"/>
        <v>829</v>
      </c>
      <c r="AD102">
        <f>COUNTIF($E$9:$E102,$E102)</f>
        <v>4</v>
      </c>
      <c r="AE102" s="35">
        <f>SUMIF($E$9:$E$115,$E102,$AC$9:$AC$115)</f>
        <v>2548</v>
      </c>
      <c r="AF102" s="35">
        <f>IF($AD102&gt;1,0,SUMIF($E$9:$E$115,$E102,$AC$9:$AC$115))</f>
        <v>0</v>
      </c>
      <c r="AG102" s="11">
        <f>IF(Z102=0,"",1+COUNTIFS($C$9:$C$115,$C102,$Z$9:$Z$115,"&gt;"&amp;$Z102))</f>
        <v>6</v>
      </c>
      <c r="AH102" t="str">
        <f t="shared" si="33"/>
        <v>Miffy Treherne- QO- W50</v>
      </c>
      <c r="AI102" s="22">
        <f t="shared" si="46"/>
        <v>829</v>
      </c>
    </row>
    <row r="103" spans="1:35" x14ac:dyDescent="0.25">
      <c r="A103" s="79" t="s">
        <v>222</v>
      </c>
      <c r="B103" t="s">
        <v>3</v>
      </c>
      <c r="C103" s="81" t="str">
        <f t="shared" si="14"/>
        <v>Taunton Wilton Long</v>
      </c>
      <c r="D103" t="s">
        <v>110</v>
      </c>
      <c r="E103" s="81" t="str">
        <f t="shared" si="0"/>
        <v>Simon St Leger-Harris Long</v>
      </c>
      <c r="F103" t="s">
        <v>103</v>
      </c>
      <c r="G103">
        <v>50</v>
      </c>
      <c r="H103">
        <v>21</v>
      </c>
      <c r="I103" s="30">
        <f t="shared" si="61"/>
        <v>3.4965277777777783E-2</v>
      </c>
      <c r="J103" s="7">
        <f t="shared" si="77"/>
        <v>3.4965277777777783E-2</v>
      </c>
      <c r="K103" s="7">
        <f t="shared" si="78"/>
        <v>1</v>
      </c>
      <c r="L103" s="10">
        <f t="shared" si="79"/>
        <v>50.350000000000009</v>
      </c>
      <c r="N103" s="6" t="s">
        <v>32</v>
      </c>
      <c r="O103" s="43">
        <v>720</v>
      </c>
      <c r="P103" s="44">
        <v>30</v>
      </c>
      <c r="Q103" s="45">
        <f t="shared" si="80"/>
        <v>690</v>
      </c>
      <c r="R103" s="45">
        <f>IF(VLOOKUP($A103,events!$B$4:$C$8,2,0)=$Q103,ROUNDDOWN(50-$L103,0),0)</f>
        <v>0</v>
      </c>
      <c r="S103" s="44">
        <f t="shared" si="43"/>
        <v>0</v>
      </c>
      <c r="T103" s="46">
        <f t="shared" si="81"/>
        <v>690</v>
      </c>
      <c r="U103" s="47">
        <f>ROUND($T103*1000/_xlfn.AGGREGATE(14,6,$T$9:$T$115/($C$9:$C$115=$C103),1),0)</f>
        <v>726</v>
      </c>
      <c r="V103" s="47">
        <f>1+COUNTIFS($C$9:$C$115,$C103,$U$9:$U$115,"&gt;"&amp;$U103)</f>
        <v>10</v>
      </c>
      <c r="W103" s="45">
        <f t="shared" si="44"/>
        <v>0.7</v>
      </c>
      <c r="X103" s="46">
        <f t="shared" si="82"/>
        <v>986</v>
      </c>
      <c r="Y103" s="48"/>
      <c r="Z103" s="59">
        <f>ROUND($X103*1000/_xlfn.AGGREGATE(14,6,$X$9:$X$115/($C$9:$C$115=$C103),1),0)+Y103</f>
        <v>863</v>
      </c>
      <c r="AA103" s="48"/>
      <c r="AB103" s="50">
        <f>IF($AA103="d",$B$5+1,1+SUMPRODUCT(($E$9:$E$153=$E103)*($Z$9:$Z$153&gt;$Z103)))</f>
        <v>1</v>
      </c>
      <c r="AC103" s="49">
        <f t="shared" si="83"/>
        <v>863</v>
      </c>
      <c r="AD103">
        <f>COUNTIF($E$9:$E103,$E103)</f>
        <v>5</v>
      </c>
      <c r="AE103" s="35">
        <f>SUMIF($E$9:$E$115,$E103,$AC$9:$AC$115)</f>
        <v>2425</v>
      </c>
      <c r="AF103" s="35">
        <f>IF($AD103&gt;1,0,SUMIF($E$9:$E$115,$E103,$AC$9:$AC$115))</f>
        <v>0</v>
      </c>
      <c r="AG103" s="11">
        <f>IF(Z103=0,"",1+COUNTIFS($C$9:$C$115,$C103,$Z$9:$Z$115,"&gt;"&amp;$Z103))</f>
        <v>4</v>
      </c>
      <c r="AH103" t="str">
        <f t="shared" si="33"/>
        <v>Simon St Leger-Harris- QO- M65</v>
      </c>
      <c r="AI103" s="22">
        <f t="shared" si="46"/>
        <v>863</v>
      </c>
    </row>
    <row r="104" spans="1:35" x14ac:dyDescent="0.25">
      <c r="A104" s="79" t="s">
        <v>222</v>
      </c>
      <c r="B104" t="s">
        <v>3</v>
      </c>
      <c r="C104" s="81" t="str">
        <f t="shared" si="14"/>
        <v>Taunton Wilton Long</v>
      </c>
      <c r="D104" t="s">
        <v>224</v>
      </c>
      <c r="E104" s="81" t="str">
        <f t="shared" si="0"/>
        <v>Archie Fieldhouse Long</v>
      </c>
      <c r="F104" t="s">
        <v>169</v>
      </c>
      <c r="G104">
        <v>49</v>
      </c>
      <c r="H104">
        <v>21</v>
      </c>
      <c r="I104" s="30">
        <f t="shared" si="61"/>
        <v>3.4270833333333334E-2</v>
      </c>
      <c r="J104" s="7">
        <f t="shared" si="77"/>
        <v>3.4270833333333334E-2</v>
      </c>
      <c r="K104" s="7">
        <f t="shared" si="78"/>
        <v>1</v>
      </c>
      <c r="L104" s="10">
        <f t="shared" si="79"/>
        <v>49.35</v>
      </c>
      <c r="N104" s="6" t="s">
        <v>18</v>
      </c>
      <c r="O104" s="43">
        <v>350</v>
      </c>
      <c r="P104" s="44"/>
      <c r="Q104" s="45">
        <f t="shared" si="80"/>
        <v>350</v>
      </c>
      <c r="R104" s="45">
        <f>IF(VLOOKUP($A104,events!$B$4:$C$8,2,0)=$Q104,ROUNDDOWN(50-$L104,0),0)</f>
        <v>0</v>
      </c>
      <c r="S104" s="44">
        <f t="shared" si="43"/>
        <v>0</v>
      </c>
      <c r="T104" s="46">
        <f t="shared" si="81"/>
        <v>350</v>
      </c>
      <c r="U104" s="47">
        <f>ROUND($T104*1000/_xlfn.AGGREGATE(14,6,$T$9:$T$115/($C$9:$C$115=$C104),1),0)</f>
        <v>368</v>
      </c>
      <c r="V104" s="47">
        <f>1+COUNTIFS($C$9:$C$115,$C104,$U$9:$U$115,"&gt;"&amp;$U104)</f>
        <v>11</v>
      </c>
      <c r="W104" s="45">
        <f t="shared" si="44"/>
        <v>1</v>
      </c>
      <c r="X104" s="46">
        <f t="shared" si="82"/>
        <v>350</v>
      </c>
      <c r="Y104" s="48"/>
      <c r="Z104" s="59">
        <f>ROUND($X104*1000/_xlfn.AGGREGATE(14,6,$X$9:$X$115/($C$9:$C$115=$C104),1),0)+Y104</f>
        <v>306</v>
      </c>
      <c r="AA104" s="48"/>
      <c r="AB104" s="50">
        <f>IF($AA104="d",$B$5+1,1+SUMPRODUCT(($E$9:$E$153=$E104)*($Z$9:$Z$153&gt;$Z104)))</f>
        <v>1</v>
      </c>
      <c r="AC104" s="49" t="str">
        <f t="shared" si="83"/>
        <v/>
      </c>
      <c r="AD104">
        <f>COUNTIF($E$9:$E104,$E104)</f>
        <v>1</v>
      </c>
      <c r="AE104" s="35">
        <f>SUMIF($E$9:$E$115,$E104,$AC$9:$AC$115)</f>
        <v>0</v>
      </c>
      <c r="AF104" s="35">
        <f>IF($AD104&gt;1,0,SUMIF($E$9:$E$115,$E104,$AC$9:$AC$115))</f>
        <v>0</v>
      </c>
      <c r="AG104" s="11">
        <f>IF(Z104=0,"",1+COUNTIFS($C$9:$C$115,$C104,$Z$9:$Z$115,"&gt;"&amp;$Z104))</f>
        <v>12</v>
      </c>
      <c r="AH104" t="str">
        <f t="shared" si="33"/>
        <v>Archie Fieldhouse- Ind- M21</v>
      </c>
      <c r="AI104" s="22" t="str">
        <f t="shared" si="46"/>
        <v/>
      </c>
    </row>
    <row r="105" spans="1:35" x14ac:dyDescent="0.25">
      <c r="A105" s="79" t="s">
        <v>222</v>
      </c>
      <c r="B105" t="s">
        <v>3</v>
      </c>
      <c r="C105" s="81" t="str">
        <f t="shared" si="14"/>
        <v>Taunton Wilton Long</v>
      </c>
      <c r="D105" t="s">
        <v>109</v>
      </c>
      <c r="E105" s="81" t="str">
        <f t="shared" si="0"/>
        <v>Brian Pearson Long</v>
      </c>
      <c r="F105" t="s">
        <v>103</v>
      </c>
      <c r="I105" s="30" t="str">
        <f t="shared" si="61"/>
        <v/>
      </c>
      <c r="J105" s="7" t="str">
        <f t="shared" si="77"/>
        <v/>
      </c>
      <c r="K105" s="7">
        <f t="shared" si="78"/>
        <v>1.6666666666666666E-2</v>
      </c>
      <c r="L105" s="10" t="e">
        <f t="shared" si="79"/>
        <v>#VALUE!</v>
      </c>
      <c r="N105" s="6" t="s">
        <v>30</v>
      </c>
      <c r="O105" s="43"/>
      <c r="P105" s="44"/>
      <c r="Q105" s="45">
        <f t="shared" si="80"/>
        <v>0</v>
      </c>
      <c r="R105" s="45">
        <f>IF(VLOOKUP($A105,events!$B$4:$C$8,2,0)=$Q105,ROUNDDOWN(50-$L105,0),0)</f>
        <v>0</v>
      </c>
      <c r="S105" s="44">
        <f t="shared" si="43"/>
        <v>0</v>
      </c>
      <c r="T105" s="46">
        <f t="shared" si="81"/>
        <v>0</v>
      </c>
      <c r="U105" s="47">
        <f>ROUND($T105*1000/_xlfn.AGGREGATE(14,6,$T$9:$T$115/($C$9:$C$115=$C105),1),0)</f>
        <v>0</v>
      </c>
      <c r="V105" s="47">
        <f>1+COUNTIFS($C$9:$C$115,$C105,$U$9:$U$115,"&gt;"&amp;$U105)</f>
        <v>12</v>
      </c>
      <c r="W105" s="45">
        <f t="shared" si="44"/>
        <v>0.76</v>
      </c>
      <c r="X105" s="46">
        <f t="shared" si="82"/>
        <v>0</v>
      </c>
      <c r="Y105" s="48">
        <v>680</v>
      </c>
      <c r="Z105" s="59">
        <f>ROUND($X105*1000/_xlfn.AGGREGATE(14,6,$X$9:$X$115/($C$9:$C$115=$C105),1),0)+Y105</f>
        <v>680</v>
      </c>
      <c r="AA105" s="48"/>
      <c r="AB105" s="50">
        <f>IF($AA105="d",$B$5+1,1+SUMPRODUCT(($E$9:$E$153=$E105)*($Z$9:$Z$153&gt;$Z105)))</f>
        <v>2</v>
      </c>
      <c r="AC105" s="49">
        <f t="shared" si="83"/>
        <v>680</v>
      </c>
      <c r="AD105">
        <f>COUNTIF($E$9:$E105,$E105)</f>
        <v>3</v>
      </c>
      <c r="AE105" s="35">
        <f>SUMIF($E$9:$E$115,$E105,$AC$9:$AC$115)</f>
        <v>2039</v>
      </c>
      <c r="AF105" s="35">
        <f>IF($AD105&gt;1,0,SUMIF($E$9:$E$115,$E105,$AC$9:$AC$115))</f>
        <v>0</v>
      </c>
      <c r="AG105" s="11">
        <f>IF(Z105=0,"",1+COUNTIFS($C$9:$C$115,$C105,$Z$9:$Z$115,"&gt;"&amp;$Z105))</f>
        <v>11</v>
      </c>
      <c r="AH105" t="str">
        <f t="shared" si="33"/>
        <v>Brian Pearson- QO- M60</v>
      </c>
      <c r="AI105" s="22">
        <f t="shared" si="46"/>
        <v>680</v>
      </c>
    </row>
    <row r="106" spans="1:35" x14ac:dyDescent="0.25">
      <c r="A106" s="79" t="s">
        <v>222</v>
      </c>
      <c r="B106" t="s">
        <v>99</v>
      </c>
      <c r="C106" s="81" t="str">
        <f t="shared" si="14"/>
        <v>Taunton Wilton Short</v>
      </c>
      <c r="D106" t="s">
        <v>204</v>
      </c>
      <c r="E106" s="81" t="str">
        <f t="shared" si="0"/>
        <v>Steve Robertson Short</v>
      </c>
      <c r="F106" t="s">
        <v>103</v>
      </c>
      <c r="G106">
        <v>47</v>
      </c>
      <c r="H106">
        <v>56</v>
      </c>
      <c r="I106" s="30">
        <f t="shared" si="61"/>
        <v>3.3287037037037039E-2</v>
      </c>
      <c r="J106" s="7">
        <f t="shared" si="77"/>
        <v>3.3287037037037039E-2</v>
      </c>
      <c r="K106" s="7">
        <f t="shared" si="78"/>
        <v>1</v>
      </c>
      <c r="L106" s="10">
        <f t="shared" si="79"/>
        <v>47.933333333333337</v>
      </c>
      <c r="N106" s="6" t="s">
        <v>32</v>
      </c>
      <c r="O106" s="43">
        <v>970</v>
      </c>
      <c r="P106" s="44"/>
      <c r="Q106" s="45">
        <f t="shared" si="80"/>
        <v>970</v>
      </c>
      <c r="R106" s="45">
        <f>IF(VLOOKUP($A106,events!$B$4:$C$8,2,0)=$Q106,ROUNDDOWN(50-$L106,0),0)</f>
        <v>0</v>
      </c>
      <c r="S106" s="44">
        <f t="shared" si="43"/>
        <v>0</v>
      </c>
      <c r="T106" s="46">
        <f t="shared" si="81"/>
        <v>970</v>
      </c>
      <c r="U106" s="47">
        <f>ROUND($T106*1000/_xlfn.AGGREGATE(14,6,$T$9:$T$115/($C$9:$C$115=$C106),1),0)</f>
        <v>1000</v>
      </c>
      <c r="V106" s="47">
        <f>1+COUNTIFS($C$9:$C$115,$C106,$U$9:$U$115,"&gt;"&amp;$U106)</f>
        <v>1</v>
      </c>
      <c r="W106" s="45">
        <f t="shared" si="44"/>
        <v>0.7</v>
      </c>
      <c r="X106" s="46">
        <f t="shared" si="82"/>
        <v>1386</v>
      </c>
      <c r="Y106" s="48"/>
      <c r="Z106" s="59">
        <f>ROUND($X106*1000/_xlfn.AGGREGATE(14,6,$X$9:$X$115/($C$9:$C$115=$C106),1),0)+Y106</f>
        <v>1000</v>
      </c>
      <c r="AA106" s="48"/>
      <c r="AB106" s="50">
        <f>IF($AA106="d",$B$5+1,1+SUMPRODUCT(($E$9:$E$153=$E106)*($Z$9:$Z$153&gt;$Z106)))</f>
        <v>1</v>
      </c>
      <c r="AC106" s="49">
        <f t="shared" si="83"/>
        <v>1000</v>
      </c>
      <c r="AD106">
        <f>COUNTIF($E$9:$E106,$E106)</f>
        <v>2</v>
      </c>
      <c r="AE106" s="35">
        <f>SUMIF($E$9:$E$115,$E106,$AC$9:$AC$115)</f>
        <v>1989</v>
      </c>
      <c r="AF106" s="35">
        <f>IF($AD106&gt;1,0,SUMIF($E$9:$E$115,$E106,$AC$9:$AC$115))</f>
        <v>0</v>
      </c>
      <c r="AG106" s="11">
        <f>IF(Z106=0,"",1+COUNTIFS($C$9:$C$115,$C106,$Z$9:$Z$115,"&gt;"&amp;$Z106))</f>
        <v>1</v>
      </c>
      <c r="AH106" t="str">
        <f t="shared" si="33"/>
        <v>Steve Robertson- QO- M65</v>
      </c>
      <c r="AI106" s="22">
        <f t="shared" si="46"/>
        <v>1000</v>
      </c>
    </row>
    <row r="107" spans="1:35" x14ac:dyDescent="0.25">
      <c r="A107" s="79" t="s">
        <v>222</v>
      </c>
      <c r="B107" t="s">
        <v>99</v>
      </c>
      <c r="C107" s="81" t="str">
        <f t="shared" si="14"/>
        <v>Taunton Wilton Short</v>
      </c>
      <c r="D107" t="s">
        <v>102</v>
      </c>
      <c r="E107" s="81" t="str">
        <f t="shared" si="0"/>
        <v>Andy Rimes Short</v>
      </c>
      <c r="F107" t="s">
        <v>103</v>
      </c>
      <c r="G107">
        <v>46</v>
      </c>
      <c r="H107">
        <v>37</v>
      </c>
      <c r="I107" s="30">
        <f t="shared" si="61"/>
        <v>3.2372685185185185E-2</v>
      </c>
      <c r="J107" s="7">
        <f t="shared" si="77"/>
        <v>3.2372685185185185E-2</v>
      </c>
      <c r="K107" s="7">
        <f t="shared" si="78"/>
        <v>1</v>
      </c>
      <c r="L107" s="10">
        <f t="shared" si="79"/>
        <v>46.616666666666667</v>
      </c>
      <c r="N107" s="6" t="s">
        <v>28</v>
      </c>
      <c r="O107" s="43">
        <v>960</v>
      </c>
      <c r="P107" s="44"/>
      <c r="Q107" s="45">
        <f t="shared" si="80"/>
        <v>960</v>
      </c>
      <c r="R107" s="45">
        <f>IF(VLOOKUP($A107,events!$B$4:$C$8,2,0)=$Q107,ROUNDDOWN(50-$L107,0),0)</f>
        <v>0</v>
      </c>
      <c r="S107" s="44">
        <f t="shared" si="43"/>
        <v>0</v>
      </c>
      <c r="T107" s="46">
        <f t="shared" si="81"/>
        <v>960</v>
      </c>
      <c r="U107" s="47">
        <f>ROUND($T107*1000/_xlfn.AGGREGATE(14,6,$T$9:$T$115/($C$9:$C$115=$C107),1),0)</f>
        <v>990</v>
      </c>
      <c r="V107" s="47">
        <f>1+COUNTIFS($C$9:$C$115,$C107,$U$9:$U$115,"&gt;"&amp;$U107)</f>
        <v>2</v>
      </c>
      <c r="W107" s="45">
        <f t="shared" si="44"/>
        <v>0.82</v>
      </c>
      <c r="X107" s="46">
        <f t="shared" si="82"/>
        <v>1171</v>
      </c>
      <c r="Y107" s="48"/>
      <c r="Z107" s="59">
        <f>ROUND($X107*1000/_xlfn.AGGREGATE(14,6,$X$9:$X$115/($C$9:$C$115=$C107),1),0)+Y107</f>
        <v>845</v>
      </c>
      <c r="AA107" s="48"/>
      <c r="AB107" s="50">
        <f>IF($AA107="d",$B$5+1,1+SUMPRODUCT(($E$9:$E$153=$E107)*($Z$9:$Z$153&gt;$Z107)))</f>
        <v>5</v>
      </c>
      <c r="AC107" s="49" t="str">
        <f t="shared" si="83"/>
        <v/>
      </c>
      <c r="AD107">
        <f>COUNTIF($E$9:$E107,$E107)</f>
        <v>5</v>
      </c>
      <c r="AE107" s="35">
        <f>SUMIF($E$9:$E$115,$E107,$AC$9:$AC$115)</f>
        <v>2836</v>
      </c>
      <c r="AF107" s="35">
        <f>IF($AD107&gt;1,0,SUMIF($E$9:$E$115,$E107,$AC$9:$AC$115))</f>
        <v>0</v>
      </c>
      <c r="AG107" s="11">
        <f>IF(Z107=0,"",1+COUNTIFS($C$9:$C$115,$C107,$Z$9:$Z$115,"&gt;"&amp;$Z107))</f>
        <v>4</v>
      </c>
      <c r="AH107" t="str">
        <f t="shared" si="33"/>
        <v>Andy Rimes- QO- M55</v>
      </c>
      <c r="AI107" s="22" t="str">
        <f t="shared" si="46"/>
        <v/>
      </c>
    </row>
    <row r="108" spans="1:35" x14ac:dyDescent="0.25">
      <c r="A108" s="79" t="s">
        <v>222</v>
      </c>
      <c r="B108" t="s">
        <v>99</v>
      </c>
      <c r="C108" s="81" t="str">
        <f t="shared" si="14"/>
        <v>Taunton Wilton Short</v>
      </c>
      <c r="D108" t="s">
        <v>146</v>
      </c>
      <c r="E108" s="81" t="str">
        <f t="shared" si="0"/>
        <v>Ray Toomer Short</v>
      </c>
      <c r="F108" t="s">
        <v>103</v>
      </c>
      <c r="G108">
        <v>47</v>
      </c>
      <c r="H108">
        <v>12</v>
      </c>
      <c r="I108" s="30">
        <f t="shared" si="61"/>
        <v>3.2777777777777781E-2</v>
      </c>
      <c r="J108" s="7">
        <f t="shared" si="77"/>
        <v>3.2777777777777781E-2</v>
      </c>
      <c r="K108" s="7">
        <f t="shared" si="78"/>
        <v>1</v>
      </c>
      <c r="L108" s="10">
        <f t="shared" si="79"/>
        <v>47.2</v>
      </c>
      <c r="N108" s="6" t="s">
        <v>32</v>
      </c>
      <c r="O108" s="43">
        <v>910</v>
      </c>
      <c r="P108" s="44"/>
      <c r="Q108" s="45">
        <f t="shared" si="80"/>
        <v>910</v>
      </c>
      <c r="R108" s="45">
        <f>IF(VLOOKUP($A108,events!$B$4:$C$8,2,0)=$Q108,ROUNDDOWN(50-$L108,0),0)</f>
        <v>0</v>
      </c>
      <c r="S108" s="44">
        <f t="shared" si="43"/>
        <v>0</v>
      </c>
      <c r="T108" s="46">
        <f t="shared" si="81"/>
        <v>910</v>
      </c>
      <c r="U108" s="47">
        <f>ROUND($T108*1000/_xlfn.AGGREGATE(14,6,$T$9:$T$115/($C$9:$C$115=$C108),1),0)</f>
        <v>938</v>
      </c>
      <c r="V108" s="47">
        <f>1+COUNTIFS($C$9:$C$115,$C108,$U$9:$U$115,"&gt;"&amp;$U108)</f>
        <v>3</v>
      </c>
      <c r="W108" s="45">
        <f t="shared" si="44"/>
        <v>0.7</v>
      </c>
      <c r="X108" s="46">
        <f t="shared" si="82"/>
        <v>1300</v>
      </c>
      <c r="Y108" s="48"/>
      <c r="Z108" s="59">
        <f>ROUND($X108*1000/_xlfn.AGGREGATE(14,6,$X$9:$X$115/($C$9:$C$115=$C108),1),0)+Y108</f>
        <v>938</v>
      </c>
      <c r="AA108" s="48"/>
      <c r="AB108" s="50">
        <f>IF($AA108="d",$B$5+1,1+SUMPRODUCT(($E$9:$E$153=$E108)*($Z$9:$Z$153&gt;$Z108)))</f>
        <v>4</v>
      </c>
      <c r="AC108" s="49" t="str">
        <f t="shared" si="83"/>
        <v/>
      </c>
      <c r="AD108">
        <f>COUNTIF($E$9:$E108,$E108)</f>
        <v>5</v>
      </c>
      <c r="AE108" s="35">
        <f>SUMIF($E$9:$E$115,$E108,$AC$9:$AC$115)</f>
        <v>3000</v>
      </c>
      <c r="AF108" s="35">
        <f>IF($AD108&gt;1,0,SUMIF($E$9:$E$115,$E108,$AC$9:$AC$115))</f>
        <v>0</v>
      </c>
      <c r="AG108" s="11">
        <f>IF(Z108=0,"",1+COUNTIFS($C$9:$C$115,$C108,$Z$9:$Z$115,"&gt;"&amp;$Z108))</f>
        <v>3</v>
      </c>
      <c r="AH108" t="str">
        <f t="shared" si="33"/>
        <v>Ray Toomer- QO- M65</v>
      </c>
      <c r="AI108" s="22" t="str">
        <f t="shared" si="46"/>
        <v/>
      </c>
    </row>
    <row r="109" spans="1:35" x14ac:dyDescent="0.25">
      <c r="A109" s="79" t="s">
        <v>222</v>
      </c>
      <c r="B109" t="s">
        <v>99</v>
      </c>
      <c r="C109" s="81" t="str">
        <f t="shared" si="14"/>
        <v>Taunton Wilton Short</v>
      </c>
      <c r="D109" t="s">
        <v>205</v>
      </c>
      <c r="E109" s="81" t="str">
        <f t="shared" si="0"/>
        <v>Vikki Page Short</v>
      </c>
      <c r="F109" t="s">
        <v>103</v>
      </c>
      <c r="G109">
        <v>47</v>
      </c>
      <c r="H109">
        <v>46</v>
      </c>
      <c r="I109" s="30">
        <f t="shared" si="61"/>
        <v>3.3171296296296296E-2</v>
      </c>
      <c r="J109" s="7">
        <f t="shared" si="77"/>
        <v>3.3171296296296296E-2</v>
      </c>
      <c r="K109" s="7">
        <f t="shared" si="78"/>
        <v>1</v>
      </c>
      <c r="L109" s="10">
        <f t="shared" si="79"/>
        <v>47.766666666666666</v>
      </c>
      <c r="N109" s="6" t="s">
        <v>25</v>
      </c>
      <c r="O109" s="43">
        <v>850</v>
      </c>
      <c r="P109" s="44"/>
      <c r="Q109" s="45">
        <f t="shared" si="80"/>
        <v>850</v>
      </c>
      <c r="R109" s="45">
        <f>IF(VLOOKUP($A109,events!$B$4:$C$8,2,0)=$Q109,ROUNDDOWN(50-$L109,0),0)</f>
        <v>0</v>
      </c>
      <c r="S109" s="44">
        <f t="shared" si="43"/>
        <v>0</v>
      </c>
      <c r="T109" s="46">
        <f t="shared" si="81"/>
        <v>850</v>
      </c>
      <c r="U109" s="47">
        <f>ROUND($T109*1000/_xlfn.AGGREGATE(14,6,$T$9:$T$115/($C$9:$C$115=$C109),1),0)</f>
        <v>876</v>
      </c>
      <c r="V109" s="47">
        <f>1+COUNTIFS($C$9:$C$115,$C109,$U$9:$U$115,"&gt;"&amp;$U109)</f>
        <v>4</v>
      </c>
      <c r="W109" s="45">
        <f t="shared" si="44"/>
        <v>0.79</v>
      </c>
      <c r="X109" s="46">
        <f t="shared" si="82"/>
        <v>1076</v>
      </c>
      <c r="Y109" s="48"/>
      <c r="Z109" s="59">
        <f>ROUND($X109*1000/_xlfn.AGGREGATE(14,6,$X$9:$X$115/($C$9:$C$115=$C109),1),0)+Y109</f>
        <v>776</v>
      </c>
      <c r="AA109" s="48"/>
      <c r="AB109" s="50">
        <f>IF($AA109="d",$B$5+1,1+SUMPRODUCT(($E$9:$E$153=$E109)*($Z$9:$Z$153&gt;$Z109)))</f>
        <v>1</v>
      </c>
      <c r="AC109" s="49">
        <f t="shared" si="83"/>
        <v>776</v>
      </c>
      <c r="AD109">
        <f>COUNTIF($E$9:$E109,$E109)</f>
        <v>3</v>
      </c>
      <c r="AE109" s="35">
        <f>SUMIF($E$9:$E$115,$E109,$AC$9:$AC$115)</f>
        <v>2035</v>
      </c>
      <c r="AF109" s="35">
        <f>IF($AD109&gt;1,0,SUMIF($E$9:$E$115,$E109,$AC$9:$AC$115))</f>
        <v>0</v>
      </c>
      <c r="AG109" s="11">
        <f>IF(Z109=0,"",1+COUNTIFS($C$9:$C$115,$C109,$Z$9:$Z$115,"&gt;"&amp;$Z109))</f>
        <v>6</v>
      </c>
      <c r="AH109" t="str">
        <f t="shared" si="33"/>
        <v>Vikki Page- QO- W45</v>
      </c>
      <c r="AI109" s="22">
        <f t="shared" si="46"/>
        <v>776</v>
      </c>
    </row>
    <row r="110" spans="1:35" x14ac:dyDescent="0.25">
      <c r="A110" s="79" t="s">
        <v>222</v>
      </c>
      <c r="B110" t="s">
        <v>99</v>
      </c>
      <c r="C110" s="81" t="str">
        <f t="shared" si="14"/>
        <v>Taunton Wilton Short</v>
      </c>
      <c r="D110" t="s">
        <v>188</v>
      </c>
      <c r="E110" s="81" t="str">
        <f t="shared" si="0"/>
        <v>Alasdair Shaw Short</v>
      </c>
      <c r="F110" t="s">
        <v>103</v>
      </c>
      <c r="G110">
        <v>46</v>
      </c>
      <c r="H110">
        <v>40</v>
      </c>
      <c r="I110" s="30">
        <f t="shared" si="61"/>
        <v>3.2407407407407406E-2</v>
      </c>
      <c r="J110" s="7">
        <f t="shared" si="77"/>
        <v>3.2407407407407406E-2</v>
      </c>
      <c r="K110" s="7">
        <f t="shared" si="78"/>
        <v>1</v>
      </c>
      <c r="L110" s="10">
        <f t="shared" si="79"/>
        <v>46.666666666666657</v>
      </c>
      <c r="N110" s="6" t="s">
        <v>22</v>
      </c>
      <c r="O110" s="43">
        <v>840</v>
      </c>
      <c r="P110" s="44"/>
      <c r="Q110" s="45">
        <f t="shared" si="80"/>
        <v>840</v>
      </c>
      <c r="R110" s="45">
        <f>IF(VLOOKUP($A110,events!$B$4:$C$8,2,0)=$Q110,ROUNDDOWN(50-$L110,0),0)</f>
        <v>0</v>
      </c>
      <c r="S110" s="44">
        <f t="shared" si="43"/>
        <v>0</v>
      </c>
      <c r="T110" s="46">
        <f t="shared" si="81"/>
        <v>840</v>
      </c>
      <c r="U110" s="47">
        <f>ROUND($T110*1000/_xlfn.AGGREGATE(14,6,$T$9:$T$115/($C$9:$C$115=$C110),1),0)</f>
        <v>866</v>
      </c>
      <c r="V110" s="47">
        <f>1+COUNTIFS($C$9:$C$115,$C110,$U$9:$U$115,"&gt;"&amp;$U110)</f>
        <v>5</v>
      </c>
      <c r="W110" s="45">
        <f t="shared" si="44"/>
        <v>0.93</v>
      </c>
      <c r="X110" s="46">
        <f t="shared" si="82"/>
        <v>903</v>
      </c>
      <c r="Y110" s="48"/>
      <c r="Z110" s="59">
        <f>ROUND($X110*1000/_xlfn.AGGREGATE(14,6,$X$9:$X$115/($C$9:$C$115=$C110),1),0)+Y110</f>
        <v>652</v>
      </c>
      <c r="AA110" s="48"/>
      <c r="AB110" s="50">
        <f>IF($AA110="d",$B$5+1,1+SUMPRODUCT(($E$9:$E$153=$E110)*($Z$9:$Z$153&gt;$Z110)))</f>
        <v>5</v>
      </c>
      <c r="AC110" s="49" t="str">
        <f t="shared" si="83"/>
        <v/>
      </c>
      <c r="AD110">
        <f>COUNTIF($E$9:$E110,$E110)</f>
        <v>5</v>
      </c>
      <c r="AE110" s="35">
        <f>SUMIF($E$9:$E$115,$E110,$AC$9:$AC$115)</f>
        <v>2495</v>
      </c>
      <c r="AF110" s="35">
        <f>IF($AD110&gt;1,0,SUMIF($E$9:$E$115,$E110,$AC$9:$AC$115))</f>
        <v>0</v>
      </c>
      <c r="AG110" s="11">
        <f>IF(Z110=0,"",1+COUNTIFS($C$9:$C$115,$C110,$Z$9:$Z$115,"&gt;"&amp;$Z110))</f>
        <v>8</v>
      </c>
      <c r="AH110" t="str">
        <f t="shared" si="33"/>
        <v>Alasdair Shaw- QO- M40</v>
      </c>
      <c r="AI110" s="22" t="str">
        <f t="shared" si="46"/>
        <v/>
      </c>
    </row>
    <row r="111" spans="1:35" x14ac:dyDescent="0.25">
      <c r="A111" s="79" t="s">
        <v>222</v>
      </c>
      <c r="B111" t="s">
        <v>99</v>
      </c>
      <c r="C111" s="81" t="str">
        <f t="shared" si="14"/>
        <v>Taunton Wilton Short</v>
      </c>
      <c r="D111" t="s">
        <v>150</v>
      </c>
      <c r="E111" s="81" t="str">
        <f t="shared" si="0"/>
        <v>Rosie Wych Short</v>
      </c>
      <c r="F111" t="s">
        <v>103</v>
      </c>
      <c r="G111">
        <v>48</v>
      </c>
      <c r="H111">
        <v>47</v>
      </c>
      <c r="I111" s="30">
        <f t="shared" si="61"/>
        <v>3.3877314814814811E-2</v>
      </c>
      <c r="J111" s="7">
        <f t="shared" si="77"/>
        <v>3.3877314814814811E-2</v>
      </c>
      <c r="K111" s="7">
        <f t="shared" si="78"/>
        <v>1</v>
      </c>
      <c r="L111" s="10">
        <f t="shared" si="79"/>
        <v>48.783333333333324</v>
      </c>
      <c r="N111" s="6" t="s">
        <v>33</v>
      </c>
      <c r="O111" s="43">
        <v>830</v>
      </c>
      <c r="P111" s="44"/>
      <c r="Q111" s="45">
        <f t="shared" si="80"/>
        <v>830</v>
      </c>
      <c r="R111" s="45">
        <f>IF(VLOOKUP($A111,events!$B$4:$C$8,2,0)=$Q111,ROUNDDOWN(50-$L111,0),0)</f>
        <v>0</v>
      </c>
      <c r="S111" s="44">
        <f t="shared" si="43"/>
        <v>0</v>
      </c>
      <c r="T111" s="46">
        <f t="shared" si="81"/>
        <v>830</v>
      </c>
      <c r="U111" s="47">
        <f>ROUND($T111*1000/_xlfn.AGGREGATE(14,6,$T$9:$T$115/($C$9:$C$115=$C111),1),0)</f>
        <v>856</v>
      </c>
      <c r="V111" s="47">
        <f>1+COUNTIFS($C$9:$C$115,$C111,$U$9:$U$115,"&gt;"&amp;$U111)</f>
        <v>6</v>
      </c>
      <c r="W111" s="45">
        <f t="shared" si="44"/>
        <v>0.61</v>
      </c>
      <c r="X111" s="46">
        <f t="shared" si="82"/>
        <v>1361</v>
      </c>
      <c r="Y111" s="48"/>
      <c r="Z111" s="59">
        <f>ROUND($X111*1000/_xlfn.AGGREGATE(14,6,$X$9:$X$115/($C$9:$C$115=$C111),1),0)+Y111</f>
        <v>982</v>
      </c>
      <c r="AA111" s="48"/>
      <c r="AB111" s="50">
        <f>IF($AA111="d",$B$5+1,1+SUMPRODUCT(($E$9:$E$153=$E111)*($Z$9:$Z$153&gt;$Z111)))</f>
        <v>1</v>
      </c>
      <c r="AC111" s="49">
        <f t="shared" si="83"/>
        <v>982</v>
      </c>
      <c r="AD111">
        <f>COUNTIF($E$9:$E111,$E111)</f>
        <v>4</v>
      </c>
      <c r="AE111" s="35">
        <f>SUMIF($E$9:$E$115,$E111,$AC$9:$AC$115)</f>
        <v>2923</v>
      </c>
      <c r="AF111" s="35">
        <f>IF($AD111&gt;1,0,SUMIF($E$9:$E$115,$E111,$AC$9:$AC$115))</f>
        <v>0</v>
      </c>
      <c r="AG111" s="11">
        <f>IF(Z111=0,"",1+COUNTIFS($C$9:$C$115,$C111,$Z$9:$Z$115,"&gt;"&amp;$Z111))</f>
        <v>2</v>
      </c>
      <c r="AH111" t="str">
        <f t="shared" si="33"/>
        <v>Rosie Wych- QO- W65</v>
      </c>
      <c r="AI111" s="22">
        <f t="shared" si="46"/>
        <v>982</v>
      </c>
    </row>
    <row r="112" spans="1:35" x14ac:dyDescent="0.25">
      <c r="A112" s="79" t="s">
        <v>222</v>
      </c>
      <c r="B112" t="s">
        <v>99</v>
      </c>
      <c r="C112" s="81" t="str">
        <f t="shared" si="14"/>
        <v>Taunton Wilton Short</v>
      </c>
      <c r="D112" t="s">
        <v>190</v>
      </c>
      <c r="E112" s="81" t="str">
        <f t="shared" si="0"/>
        <v>Roger Craddock Short</v>
      </c>
      <c r="F112" t="s">
        <v>103</v>
      </c>
      <c r="G112">
        <v>50</v>
      </c>
      <c r="H112">
        <v>0</v>
      </c>
      <c r="I112" s="30">
        <f t="shared" si="61"/>
        <v>3.4722222222222224E-2</v>
      </c>
      <c r="J112" s="7">
        <f t="shared" si="77"/>
        <v>3.4722222222222224E-2</v>
      </c>
      <c r="K112" s="7">
        <f t="shared" si="78"/>
        <v>1</v>
      </c>
      <c r="L112" s="10">
        <f t="shared" si="79"/>
        <v>50</v>
      </c>
      <c r="N112" s="6" t="s">
        <v>39</v>
      </c>
      <c r="O112" s="43">
        <v>630</v>
      </c>
      <c r="P112" s="44"/>
      <c r="Q112" s="45">
        <f t="shared" si="80"/>
        <v>630</v>
      </c>
      <c r="R112" s="45">
        <f>IF(VLOOKUP($A112,events!$B$4:$C$8,2,0)=$Q112,ROUNDDOWN(50-$L112,0),0)</f>
        <v>0</v>
      </c>
      <c r="S112" s="44">
        <f t="shared" si="43"/>
        <v>0</v>
      </c>
      <c r="T112" s="46">
        <f t="shared" si="81"/>
        <v>630</v>
      </c>
      <c r="U112" s="47">
        <f>ROUND($T112*1000/_xlfn.AGGREGATE(14,6,$T$9:$T$115/($C$9:$C$115=$C112),1),0)</f>
        <v>649</v>
      </c>
      <c r="V112" s="47">
        <f>1+COUNTIFS($C$9:$C$115,$C112,$U$9:$U$115,"&gt;"&amp;$U112)</f>
        <v>7</v>
      </c>
      <c r="W112" s="45">
        <f t="shared" si="44"/>
        <v>0.55000000000000004</v>
      </c>
      <c r="X112" s="46">
        <f t="shared" si="82"/>
        <v>1145</v>
      </c>
      <c r="Y112" s="48"/>
      <c r="Z112" s="59">
        <f>ROUND($X112*1000/_xlfn.AGGREGATE(14,6,$X$9:$X$115/($C$9:$C$115=$C112),1),0)+Y112</f>
        <v>826</v>
      </c>
      <c r="AA112" s="48"/>
      <c r="AB112" s="50">
        <f>IF($AA112="d",$B$5+1,1+SUMPRODUCT(($E$9:$E$153=$E112)*($Z$9:$Z$153&gt;$Z112)))</f>
        <v>1</v>
      </c>
      <c r="AC112" s="49">
        <f t="shared" si="83"/>
        <v>826</v>
      </c>
      <c r="AD112">
        <f>COUNTIF($E$9:$E112,$E112)</f>
        <v>4</v>
      </c>
      <c r="AE112" s="35">
        <f>SUMIF($E$9:$E$115,$E112,$AC$9:$AC$115)</f>
        <v>2260</v>
      </c>
      <c r="AF112" s="35">
        <f>IF($AD112&gt;1,0,SUMIF($E$9:$E$115,$E112,$AC$9:$AC$115))</f>
        <v>0</v>
      </c>
      <c r="AG112" s="11">
        <f>IF(Z112=0,"",1+COUNTIFS($C$9:$C$115,$C112,$Z$9:$Z$115,"&gt;"&amp;$Z112))</f>
        <v>5</v>
      </c>
      <c r="AH112" t="str">
        <f t="shared" si="33"/>
        <v>Roger Craddock- QO- M80</v>
      </c>
      <c r="AI112" s="22">
        <f t="shared" si="46"/>
        <v>826</v>
      </c>
    </row>
    <row r="113" spans="1:35" x14ac:dyDescent="0.25">
      <c r="A113" s="79" t="s">
        <v>222</v>
      </c>
      <c r="B113" t="s">
        <v>99</v>
      </c>
      <c r="C113" s="81" t="str">
        <f t="shared" si="14"/>
        <v>Taunton Wilton Short</v>
      </c>
      <c r="D113" t="s">
        <v>206</v>
      </c>
      <c r="E113" s="81" t="str">
        <f t="shared" si="0"/>
        <v>John Trayler Short</v>
      </c>
      <c r="F113" t="s">
        <v>103</v>
      </c>
      <c r="G113">
        <v>45</v>
      </c>
      <c r="H113">
        <v>13</v>
      </c>
      <c r="I113" s="30">
        <f t="shared" si="61"/>
        <v>3.1400462962962963E-2</v>
      </c>
      <c r="J113" s="7">
        <f t="shared" si="77"/>
        <v>3.1400462962962963E-2</v>
      </c>
      <c r="K113" s="7">
        <f t="shared" si="78"/>
        <v>1</v>
      </c>
      <c r="L113" s="10">
        <f t="shared" si="79"/>
        <v>45.216666666666669</v>
      </c>
      <c r="N113" s="6" t="s">
        <v>36</v>
      </c>
      <c r="O113" s="43">
        <v>570</v>
      </c>
      <c r="P113" s="44"/>
      <c r="Q113" s="45">
        <f t="shared" si="80"/>
        <v>570</v>
      </c>
      <c r="R113" s="45">
        <f>IF(VLOOKUP($A113,events!$B$4:$C$8,2,0)=$Q113,ROUNDDOWN(50-$L113,0),0)</f>
        <v>0</v>
      </c>
      <c r="S113" s="44">
        <f t="shared" si="43"/>
        <v>0</v>
      </c>
      <c r="T113" s="46">
        <f t="shared" si="81"/>
        <v>570</v>
      </c>
      <c r="U113" s="47">
        <f>ROUND($T113*1000/_xlfn.AGGREGATE(14,6,$T$9:$T$115/($C$9:$C$115=$C113),1),0)</f>
        <v>588</v>
      </c>
      <c r="V113" s="47">
        <f>1+COUNTIFS($C$9:$C$115,$C113,$U$9:$U$115,"&gt;"&amp;$U113)</f>
        <v>8</v>
      </c>
      <c r="W113" s="45">
        <f t="shared" si="44"/>
        <v>0.6</v>
      </c>
      <c r="X113" s="46">
        <f t="shared" si="82"/>
        <v>950</v>
      </c>
      <c r="Y113" s="48"/>
      <c r="Z113" s="59">
        <f>ROUND($X113*1000/_xlfn.AGGREGATE(14,6,$X$9:$X$115/($C$9:$C$115=$C113),1),0)+Y113</f>
        <v>685</v>
      </c>
      <c r="AA113" s="48"/>
      <c r="AB113" s="50">
        <f>IF($AA113="d",$B$5+1,1+SUMPRODUCT(($E$9:$E$153=$E113)*($Z$9:$Z$153&gt;$Z113)))</f>
        <v>1</v>
      </c>
      <c r="AC113" s="49">
        <f t="shared" si="83"/>
        <v>685</v>
      </c>
      <c r="AD113">
        <f>COUNTIF($E$9:$E113,$E113)</f>
        <v>3</v>
      </c>
      <c r="AE113" s="35">
        <f>SUMIF($E$9:$E$115,$E113,$AC$9:$AC$115)</f>
        <v>1775</v>
      </c>
      <c r="AF113" s="35">
        <f>IF($AD113&gt;1,0,SUMIF($E$9:$E$115,$E113,$AC$9:$AC$115))</f>
        <v>0</v>
      </c>
      <c r="AG113" s="11">
        <f>IF(Z113=0,"",1+COUNTIFS($C$9:$C$115,$C113,$Z$9:$Z$115,"&gt;"&amp;$Z113))</f>
        <v>7</v>
      </c>
      <c r="AH113" t="str">
        <f t="shared" si="33"/>
        <v>John Trayler- QO- M75</v>
      </c>
      <c r="AI113" s="22">
        <f t="shared" si="46"/>
        <v>685</v>
      </c>
    </row>
    <row r="114" spans="1:35" x14ac:dyDescent="0.25">
      <c r="A114" s="79" t="s">
        <v>222</v>
      </c>
      <c r="B114" t="s">
        <v>99</v>
      </c>
      <c r="C114" s="81" t="str">
        <f t="shared" si="14"/>
        <v>Taunton Wilton Short</v>
      </c>
      <c r="D114" t="s">
        <v>208</v>
      </c>
      <c r="E114" s="81" t="str">
        <f t="shared" si="0"/>
        <v>Vicky Fieldhouse Short</v>
      </c>
      <c r="F114" t="s">
        <v>169</v>
      </c>
      <c r="G114">
        <v>48</v>
      </c>
      <c r="H114">
        <v>52</v>
      </c>
      <c r="I114" s="30">
        <f t="shared" si="61"/>
        <v>3.3935185185185186E-2</v>
      </c>
      <c r="J114" s="7">
        <f t="shared" si="77"/>
        <v>3.3935185185185186E-2</v>
      </c>
      <c r="K114" s="7">
        <f t="shared" si="78"/>
        <v>1</v>
      </c>
      <c r="L114" s="10">
        <f t="shared" si="79"/>
        <v>48.866666666666674</v>
      </c>
      <c r="N114" s="6" t="s">
        <v>29</v>
      </c>
      <c r="O114" s="43">
        <v>510</v>
      </c>
      <c r="P114" s="44"/>
      <c r="Q114" s="45">
        <f t="shared" si="80"/>
        <v>510</v>
      </c>
      <c r="R114" s="45">
        <f>IF(VLOOKUP($A114,events!$B$4:$C$8,2,0)=$Q114,ROUNDDOWN(50-$L114,0),0)</f>
        <v>0</v>
      </c>
      <c r="S114" s="44">
        <f t="shared" si="43"/>
        <v>0</v>
      </c>
      <c r="T114" s="46">
        <f t="shared" si="81"/>
        <v>510</v>
      </c>
      <c r="U114" s="47">
        <f>ROUND($T114*1000/_xlfn.AGGREGATE(14,6,$T$9:$T$115/($C$9:$C$115=$C114),1),0)</f>
        <v>526</v>
      </c>
      <c r="V114" s="47">
        <f>1+COUNTIFS($C$9:$C$115,$C114,$U$9:$U$115,"&gt;"&amp;$U114)</f>
        <v>9</v>
      </c>
      <c r="W114" s="45">
        <f t="shared" si="44"/>
        <v>0.7</v>
      </c>
      <c r="X114" s="46">
        <f t="shared" si="82"/>
        <v>729</v>
      </c>
      <c r="Y114" s="48"/>
      <c r="Z114" s="59">
        <f>ROUND($X114*1000/_xlfn.AGGREGATE(14,6,$X$9:$X$115/($C$9:$C$115=$C114),1),0)+Y114</f>
        <v>526</v>
      </c>
      <c r="AA114" s="48"/>
      <c r="AB114" s="50">
        <f>IF($AA114="d",$B$5+1,1+SUMPRODUCT(($E$9:$E$153=$E114)*($Z$9:$Z$153&gt;$Z114)))</f>
        <v>1</v>
      </c>
      <c r="AC114" s="49" t="str">
        <f t="shared" si="83"/>
        <v/>
      </c>
      <c r="AD114">
        <f>COUNTIF($E$9:$E114,$E114)</f>
        <v>2</v>
      </c>
      <c r="AE114" s="35">
        <f>SUMIF($E$9:$E$115,$E114,$AC$9:$AC$115)</f>
        <v>0</v>
      </c>
      <c r="AF114" s="35">
        <f>IF($AD114&gt;1,0,SUMIF($E$9:$E$115,$E114,$AC$9:$AC$115))</f>
        <v>0</v>
      </c>
      <c r="AG114" s="11">
        <f>IF(Z114=0,"",1+COUNTIFS($C$9:$C$115,$C114,$Z$9:$Z$115,"&gt;"&amp;$Z114))</f>
        <v>9</v>
      </c>
      <c r="AH114" t="str">
        <f t="shared" si="33"/>
        <v>Vicky Fieldhouse- Ind- W55</v>
      </c>
      <c r="AI114" s="22" t="str">
        <f t="shared" si="46"/>
        <v/>
      </c>
    </row>
    <row r="115" spans="1:35" x14ac:dyDescent="0.25">
      <c r="A115" s="79" t="s">
        <v>222</v>
      </c>
      <c r="B115" t="s">
        <v>99</v>
      </c>
      <c r="C115" s="81" t="str">
        <f t="shared" si="14"/>
        <v>Taunton Wilton Short</v>
      </c>
      <c r="D115" t="s">
        <v>207</v>
      </c>
      <c r="E115" s="81" t="str">
        <f t="shared" si="0"/>
        <v>Sarah Rimes Short</v>
      </c>
      <c r="F115" t="s">
        <v>169</v>
      </c>
      <c r="G115">
        <v>55</v>
      </c>
      <c r="H115">
        <v>32</v>
      </c>
      <c r="I115" s="30">
        <f t="shared" si="61"/>
        <v>3.8564814814814816E-2</v>
      </c>
      <c r="J115" s="7">
        <f t="shared" si="77"/>
        <v>3.8564814814814816E-2</v>
      </c>
      <c r="K115" s="7">
        <f t="shared" si="78"/>
        <v>1</v>
      </c>
      <c r="L115" s="10">
        <f t="shared" si="79"/>
        <v>55.533333333333331</v>
      </c>
      <c r="N115" s="6" t="s">
        <v>119</v>
      </c>
      <c r="O115" s="43">
        <v>660</v>
      </c>
      <c r="P115" s="44">
        <v>180</v>
      </c>
      <c r="Q115" s="45">
        <f t="shared" si="80"/>
        <v>480</v>
      </c>
      <c r="R115" s="45">
        <f>IF(VLOOKUP($A115,events!$B$4:$C$8,2,0)=$Q115,ROUNDDOWN(50-$L115,0),0)</f>
        <v>0</v>
      </c>
      <c r="S115" s="44">
        <f t="shared" si="43"/>
        <v>0</v>
      </c>
      <c r="T115" s="46">
        <f t="shared" si="81"/>
        <v>480</v>
      </c>
      <c r="U115" s="47">
        <f>ROUND($T115*1000/_xlfn.AGGREGATE(14,6,$T$9:$T$115/($C$9:$C$115=$C115),1),0)</f>
        <v>495</v>
      </c>
      <c r="V115" s="47">
        <f>1+COUNTIFS($C$9:$C$115,$C115,$U$9:$U$115,"&gt;"&amp;$U115)</f>
        <v>10</v>
      </c>
      <c r="W115" s="45">
        <f t="shared" si="44"/>
        <v>0.87</v>
      </c>
      <c r="X115" s="46">
        <f t="shared" si="82"/>
        <v>552</v>
      </c>
      <c r="Y115" s="48"/>
      <c r="Z115" s="59">
        <f>ROUND($X115*1000/_xlfn.AGGREGATE(14,6,$X$9:$X$115/($C$9:$C$115=$C115),1),0)+Y115</f>
        <v>398</v>
      </c>
      <c r="AA115" s="48"/>
      <c r="AB115" s="50">
        <f>IF($AA115="d",$B$5+1,1+SUMPRODUCT(($E$9:$E$153=$E115)*($Z$9:$Z$153&gt;$Z115)))</f>
        <v>1</v>
      </c>
      <c r="AC115" s="49" t="str">
        <f t="shared" si="83"/>
        <v/>
      </c>
      <c r="AD115">
        <f>COUNTIF($E$9:$E115,$E115)</f>
        <v>2</v>
      </c>
      <c r="AE115" s="35">
        <f>SUMIF($E$9:$E$115,$E115,$AC$9:$AC$115)</f>
        <v>0</v>
      </c>
      <c r="AF115" s="35">
        <f>IF($AD115&gt;1,0,SUMIF($E$9:$E$115,$E115,$AC$9:$AC$115))</f>
        <v>0</v>
      </c>
      <c r="AG115" s="11">
        <f>IF(Z115=0,"",1+COUNTIFS($C$9:$C$115,$C115,$Z$9:$Z$115,"&gt;"&amp;$Z115))</f>
        <v>10</v>
      </c>
      <c r="AH115" t="str">
        <f t="shared" si="33"/>
        <v>Sarah Rimes- Ind- W30</v>
      </c>
      <c r="AI115" s="22" t="str">
        <f t="shared" si="46"/>
        <v/>
      </c>
    </row>
  </sheetData>
  <autoFilter ref="A8:AI115" xr:uid="{1721769E-6F8C-48FF-B5C7-C1205771EB77}"/>
  <conditionalFormatting sqref="AH6:AH7 F9 B1:B9 AD1:AG9 AD27:AD29 B116:B1048576 AD31 AD33:AD37 AD116:AG1048576 AD41:AD48 AE10:AG62 AE64:AG73 AD75:AG82 B92:B93 F75:F82 F84:F93 AD84:AG93">
    <cfRule type="cellIs" dxfId="79" priority="137" operator="equal">
      <formula>"Long"</formula>
    </cfRule>
    <cfRule type="containsText" dxfId="78" priority="138" operator="containsText" text="Short">
      <formula>NOT(ISERROR(SEARCH("Short",B1)))</formula>
    </cfRule>
  </conditionalFormatting>
  <conditionalFormatting sqref="AD26">
    <cfRule type="cellIs" dxfId="77" priority="99" operator="equal">
      <formula>"Long"</formula>
    </cfRule>
    <cfRule type="containsText" dxfId="76" priority="100" operator="containsText" text="Short">
      <formula>NOT(ISERROR(SEARCH("Short",AD26)))</formula>
    </cfRule>
  </conditionalFormatting>
  <conditionalFormatting sqref="F10:F11 AD10:AD12">
    <cfRule type="cellIs" dxfId="75" priority="97" operator="equal">
      <formula>"Long"</formula>
    </cfRule>
    <cfRule type="containsText" dxfId="74" priority="98" operator="containsText" text="Short">
      <formula>NOT(ISERROR(SEARCH("Short",F10)))</formula>
    </cfRule>
  </conditionalFormatting>
  <conditionalFormatting sqref="B23 AD13:AD25 F13:F23">
    <cfRule type="cellIs" dxfId="73" priority="93" operator="equal">
      <formula>"Long"</formula>
    </cfRule>
    <cfRule type="containsText" dxfId="72" priority="94" operator="containsText" text="Short">
      <formula>NOT(ISERROR(SEARCH("Short",B13)))</formula>
    </cfRule>
  </conditionalFormatting>
  <conditionalFormatting sqref="B10:B22">
    <cfRule type="cellIs" dxfId="71" priority="91" operator="equal">
      <formula>"Long"</formula>
    </cfRule>
    <cfRule type="containsText" dxfId="70" priority="92" operator="containsText" text="Short">
      <formula>NOT(ISERROR(SEARCH("Short",B10)))</formula>
    </cfRule>
  </conditionalFormatting>
  <conditionalFormatting sqref="B24:B29">
    <cfRule type="cellIs" dxfId="69" priority="89" operator="equal">
      <formula>"Long"</formula>
    </cfRule>
    <cfRule type="containsText" dxfId="68" priority="90" operator="containsText" text="Short">
      <formula>NOT(ISERROR(SEARCH("Short",B24)))</formula>
    </cfRule>
  </conditionalFormatting>
  <conditionalFormatting sqref="F24:F29">
    <cfRule type="cellIs" dxfId="67" priority="87" operator="equal">
      <formula>"Long"</formula>
    </cfRule>
    <cfRule type="containsText" dxfId="66" priority="88" operator="containsText" text="Short">
      <formula>NOT(ISERROR(SEARCH("Short",F24)))</formula>
    </cfRule>
  </conditionalFormatting>
  <conditionalFormatting sqref="F12">
    <cfRule type="cellIs" dxfId="65" priority="85" operator="equal">
      <formula>"Long"</formula>
    </cfRule>
    <cfRule type="containsText" dxfId="64" priority="86" operator="containsText" text="Short">
      <formula>NOT(ISERROR(SEARCH("Short",F12)))</formula>
    </cfRule>
  </conditionalFormatting>
  <conditionalFormatting sqref="F31 F33:F37 F41:F48">
    <cfRule type="cellIs" dxfId="63" priority="77" operator="equal">
      <formula>"Long"</formula>
    </cfRule>
    <cfRule type="containsText" dxfId="62" priority="78" operator="containsText" text="Short">
      <formula>NOT(ISERROR(SEARCH("Short",F31)))</formula>
    </cfRule>
  </conditionalFormatting>
  <conditionalFormatting sqref="AD39:AD40">
    <cfRule type="cellIs" dxfId="61" priority="75" operator="equal">
      <formula>"Long"</formula>
    </cfRule>
    <cfRule type="containsText" dxfId="60" priority="76" operator="containsText" text="Short">
      <formula>NOT(ISERROR(SEARCH("Short",AD39)))</formula>
    </cfRule>
  </conditionalFormatting>
  <conditionalFormatting sqref="B31 B33:B37 B41:B48">
    <cfRule type="cellIs" dxfId="59" priority="79" operator="equal">
      <formula>"Long"</formula>
    </cfRule>
    <cfRule type="containsText" dxfId="58" priority="80" operator="containsText" text="Short">
      <formula>NOT(ISERROR(SEARCH("Short",B31)))</formula>
    </cfRule>
  </conditionalFormatting>
  <conditionalFormatting sqref="F39:F40">
    <cfRule type="cellIs" dxfId="57" priority="71" operator="equal">
      <formula>"Long"</formula>
    </cfRule>
    <cfRule type="containsText" dxfId="56" priority="72" operator="containsText" text="Short">
      <formula>NOT(ISERROR(SEARCH("Short",F39)))</formula>
    </cfRule>
  </conditionalFormatting>
  <conditionalFormatting sqref="B39:B40">
    <cfRule type="cellIs" dxfId="55" priority="73" operator="equal">
      <formula>"Long"</formula>
    </cfRule>
    <cfRule type="containsText" dxfId="54" priority="74" operator="containsText" text="Short">
      <formula>NOT(ISERROR(SEARCH("Short",B39)))</formula>
    </cfRule>
  </conditionalFormatting>
  <conditionalFormatting sqref="AD30">
    <cfRule type="cellIs" dxfId="53" priority="69" operator="equal">
      <formula>"Long"</formula>
    </cfRule>
    <cfRule type="containsText" dxfId="52" priority="70" operator="containsText" text="Short">
      <formula>NOT(ISERROR(SEARCH("Short",AD30)))</formula>
    </cfRule>
  </conditionalFormatting>
  <conditionalFormatting sqref="B30">
    <cfRule type="cellIs" dxfId="51" priority="67" operator="equal">
      <formula>"Long"</formula>
    </cfRule>
    <cfRule type="containsText" dxfId="50" priority="68" operator="containsText" text="Short">
      <formula>NOT(ISERROR(SEARCH("Short",B30)))</formula>
    </cfRule>
  </conditionalFormatting>
  <conditionalFormatting sqref="F30">
    <cfRule type="cellIs" dxfId="49" priority="65" operator="equal">
      <formula>"Long"</formula>
    </cfRule>
    <cfRule type="containsText" dxfId="48" priority="66" operator="containsText" text="Short">
      <formula>NOT(ISERROR(SEARCH("Short",F30)))</formula>
    </cfRule>
  </conditionalFormatting>
  <conditionalFormatting sqref="AD32">
    <cfRule type="cellIs" dxfId="47" priority="63" operator="equal">
      <formula>"Long"</formula>
    </cfRule>
    <cfRule type="containsText" dxfId="46" priority="64" operator="containsText" text="Short">
      <formula>NOT(ISERROR(SEARCH("Short",AD32)))</formula>
    </cfRule>
  </conditionalFormatting>
  <conditionalFormatting sqref="F32">
    <cfRule type="cellIs" dxfId="45" priority="59" operator="equal">
      <formula>"Long"</formula>
    </cfRule>
    <cfRule type="containsText" dxfId="44" priority="60" operator="containsText" text="Short">
      <formula>NOT(ISERROR(SEARCH("Short",F32)))</formula>
    </cfRule>
  </conditionalFormatting>
  <conditionalFormatting sqref="B32">
    <cfRule type="cellIs" dxfId="43" priority="61" operator="equal">
      <formula>"Long"</formula>
    </cfRule>
    <cfRule type="containsText" dxfId="42" priority="62" operator="containsText" text="Short">
      <formula>NOT(ISERROR(SEARCH("Short",B32)))</formula>
    </cfRule>
  </conditionalFormatting>
  <conditionalFormatting sqref="AD49:AD62 AD64:AD73 AD93">
    <cfRule type="cellIs" dxfId="41" priority="49" operator="equal">
      <formula>"Long"</formula>
    </cfRule>
    <cfRule type="containsText" dxfId="40" priority="50" operator="containsText" text="Short">
      <formula>NOT(ISERROR(SEARCH("Short",AD49)))</formula>
    </cfRule>
  </conditionalFormatting>
  <conditionalFormatting sqref="AD38">
    <cfRule type="cellIs" dxfId="39" priority="55" operator="equal">
      <formula>"Long"</formula>
    </cfRule>
    <cfRule type="containsText" dxfId="38" priority="56" operator="containsText" text="Short">
      <formula>NOT(ISERROR(SEARCH("Short",AD38)))</formula>
    </cfRule>
  </conditionalFormatting>
  <conditionalFormatting sqref="F38">
    <cfRule type="cellIs" dxfId="37" priority="51" operator="equal">
      <formula>"Long"</formula>
    </cfRule>
    <cfRule type="containsText" dxfId="36" priority="52" operator="containsText" text="Short">
      <formula>NOT(ISERROR(SEARCH("Short",F38)))</formula>
    </cfRule>
  </conditionalFormatting>
  <conditionalFormatting sqref="B38">
    <cfRule type="cellIs" dxfId="35" priority="53" operator="equal">
      <formula>"Long"</formula>
    </cfRule>
    <cfRule type="containsText" dxfId="34" priority="54" operator="containsText" text="Short">
      <formula>NOT(ISERROR(SEARCH("Short",B38)))</formula>
    </cfRule>
  </conditionalFormatting>
  <conditionalFormatting sqref="F49:F62 F64:F73 F93">
    <cfRule type="cellIs" dxfId="33" priority="45" operator="equal">
      <formula>"Long"</formula>
    </cfRule>
    <cfRule type="containsText" dxfId="32" priority="46" operator="containsText" text="Short">
      <formula>NOT(ISERROR(SEARCH("Short",F49)))</formula>
    </cfRule>
  </conditionalFormatting>
  <conditionalFormatting sqref="B49:B62 B64:B73">
    <cfRule type="cellIs" dxfId="31" priority="47" operator="equal">
      <formula>"Long"</formula>
    </cfRule>
    <cfRule type="containsText" dxfId="30" priority="48" operator="containsText" text="Short">
      <formula>NOT(ISERROR(SEARCH("Short",B49)))</formula>
    </cfRule>
  </conditionalFormatting>
  <conditionalFormatting sqref="AE63:AG63">
    <cfRule type="cellIs" dxfId="29" priority="43" operator="equal">
      <formula>"Long"</formula>
    </cfRule>
    <cfRule type="containsText" dxfId="28" priority="44" operator="containsText" text="Short">
      <formula>NOT(ISERROR(SEARCH("Short",AE63)))</formula>
    </cfRule>
  </conditionalFormatting>
  <conditionalFormatting sqref="AD63">
    <cfRule type="cellIs" dxfId="27" priority="41" operator="equal">
      <formula>"Long"</formula>
    </cfRule>
    <cfRule type="containsText" dxfId="26" priority="42" operator="containsText" text="Short">
      <formula>NOT(ISERROR(SEARCH("Short",AD63)))</formula>
    </cfRule>
  </conditionalFormatting>
  <conditionalFormatting sqref="F63">
    <cfRule type="cellIs" dxfId="25" priority="37" operator="equal">
      <formula>"Long"</formula>
    </cfRule>
    <cfRule type="containsText" dxfId="24" priority="38" operator="containsText" text="Short">
      <formula>NOT(ISERROR(SEARCH("Short",F63)))</formula>
    </cfRule>
  </conditionalFormatting>
  <conditionalFormatting sqref="B63">
    <cfRule type="cellIs" dxfId="23" priority="39" operator="equal">
      <formula>"Long"</formula>
    </cfRule>
    <cfRule type="containsText" dxfId="22" priority="40" operator="containsText" text="Short">
      <formula>NOT(ISERROR(SEARCH("Short",B63)))</formula>
    </cfRule>
  </conditionalFormatting>
  <conditionalFormatting sqref="AE74:AG74">
    <cfRule type="cellIs" dxfId="21" priority="35" operator="equal">
      <formula>"Long"</formula>
    </cfRule>
    <cfRule type="containsText" dxfId="20" priority="36" operator="containsText" text="Short">
      <formula>NOT(ISERROR(SEARCH("Short",AE74)))</formula>
    </cfRule>
  </conditionalFormatting>
  <conditionalFormatting sqref="AD74">
    <cfRule type="cellIs" dxfId="19" priority="33" operator="equal">
      <formula>"Long"</formula>
    </cfRule>
    <cfRule type="containsText" dxfId="18" priority="34" operator="containsText" text="Short">
      <formula>NOT(ISERROR(SEARCH("Short",AD74)))</formula>
    </cfRule>
  </conditionalFormatting>
  <conditionalFormatting sqref="F74">
    <cfRule type="cellIs" dxfId="17" priority="29" operator="equal">
      <formula>"Long"</formula>
    </cfRule>
    <cfRule type="containsText" dxfId="16" priority="30" operator="containsText" text="Short">
      <formula>NOT(ISERROR(SEARCH("Short",F74)))</formula>
    </cfRule>
  </conditionalFormatting>
  <conditionalFormatting sqref="B74">
    <cfRule type="cellIs" dxfId="15" priority="31" operator="equal">
      <formula>"Long"</formula>
    </cfRule>
    <cfRule type="containsText" dxfId="14" priority="32" operator="containsText" text="Short">
      <formula>NOT(ISERROR(SEARCH("Short",B74)))</formula>
    </cfRule>
  </conditionalFormatting>
  <conditionalFormatting sqref="B75:B82">
    <cfRule type="cellIs" dxfId="13" priority="23" operator="equal">
      <formula>"Long"</formula>
    </cfRule>
    <cfRule type="containsText" dxfId="12" priority="24" operator="containsText" text="Short">
      <formula>NOT(ISERROR(SEARCH("Short",B75)))</formula>
    </cfRule>
  </conditionalFormatting>
  <conditionalFormatting sqref="B84:B91 B93">
    <cfRule type="cellIs" dxfId="11" priority="19" operator="equal">
      <formula>"Long"</formula>
    </cfRule>
    <cfRule type="containsText" dxfId="10" priority="20" operator="containsText" text="Short">
      <formula>NOT(ISERROR(SEARCH("Short",B84)))</formula>
    </cfRule>
  </conditionalFormatting>
  <conditionalFormatting sqref="F83 AD83:AG83">
    <cfRule type="cellIs" dxfId="9" priority="9" operator="equal">
      <formula>"Long"</formula>
    </cfRule>
    <cfRule type="containsText" dxfId="8" priority="10" operator="containsText" text="Short">
      <formula>NOT(ISERROR(SEARCH("Short",F83)))</formula>
    </cfRule>
  </conditionalFormatting>
  <conditionalFormatting sqref="B83">
    <cfRule type="cellIs" dxfId="7" priority="7" operator="equal">
      <formula>"Long"</formula>
    </cfRule>
    <cfRule type="containsText" dxfId="6" priority="8" operator="containsText" text="Short">
      <formula>NOT(ISERROR(SEARCH("Short",B83)))</formula>
    </cfRule>
  </conditionalFormatting>
  <conditionalFormatting sqref="B94:B106 AD94:AG115 F94:F115">
    <cfRule type="cellIs" dxfId="3" priority="3" operator="equal">
      <formula>"Long"</formula>
    </cfRule>
    <cfRule type="containsText" dxfId="2" priority="4" operator="containsText" text="Short">
      <formula>NOT(ISERROR(SEARCH("Short",B94)))</formula>
    </cfRule>
  </conditionalFormatting>
  <conditionalFormatting sqref="B107:B115">
    <cfRule type="cellIs" dxfId="1" priority="1" operator="equal">
      <formula>"Long"</formula>
    </cfRule>
    <cfRule type="containsText" dxfId="0" priority="2" operator="containsText" text="Short">
      <formula>NOT(ISERROR(SEARCH("Short",B107)))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4294967293" r:id="rId1"/>
  <rowBreaks count="4" manualBreakCount="4">
    <brk id="30" max="16383" man="1"/>
    <brk id="48" max="16383" man="1"/>
    <brk id="74" max="16383" man="1"/>
    <brk id="9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AA33-56A5-4149-B29C-512AD662622E}">
  <dimension ref="A2:K45"/>
  <sheetViews>
    <sheetView workbookViewId="0">
      <selection activeCell="D9" sqref="D9"/>
    </sheetView>
  </sheetViews>
  <sheetFormatPr defaultRowHeight="15" x14ac:dyDescent="0.25"/>
  <cols>
    <col min="2" max="2" width="19.42578125" customWidth="1"/>
  </cols>
  <sheetData>
    <row r="2" spans="1:11" x14ac:dyDescent="0.25">
      <c r="A2" t="s">
        <v>211</v>
      </c>
      <c r="H2" t="s">
        <v>221</v>
      </c>
      <c r="J2" t="s">
        <v>216</v>
      </c>
    </row>
    <row r="3" spans="1:11" x14ac:dyDescent="0.25">
      <c r="C3" s="1" t="s">
        <v>210</v>
      </c>
      <c r="H3" t="s">
        <v>225</v>
      </c>
      <c r="I3" t="s">
        <v>226</v>
      </c>
      <c r="J3" t="s">
        <v>218</v>
      </c>
      <c r="K3" t="s">
        <v>217</v>
      </c>
    </row>
    <row r="4" spans="1:11" x14ac:dyDescent="0.25">
      <c r="A4">
        <v>1</v>
      </c>
      <c r="B4" t="s">
        <v>157</v>
      </c>
      <c r="C4">
        <v>1110</v>
      </c>
      <c r="D4" t="s">
        <v>212</v>
      </c>
      <c r="H4">
        <v>11</v>
      </c>
      <c r="I4">
        <f t="shared" ref="I4:K43" si="0">ROUNDDOWN(H4,-1)</f>
        <v>10</v>
      </c>
      <c r="J4">
        <v>10</v>
      </c>
      <c r="K4">
        <f>ROUNDDOWN(J4,-1)</f>
        <v>10</v>
      </c>
    </row>
    <row r="5" spans="1:11" x14ac:dyDescent="0.25">
      <c r="A5">
        <v>2</v>
      </c>
      <c r="B5" t="s">
        <v>182</v>
      </c>
      <c r="C5">
        <v>1000</v>
      </c>
      <c r="D5" t="s">
        <v>212</v>
      </c>
      <c r="H5">
        <v>12</v>
      </c>
      <c r="I5">
        <f t="shared" si="0"/>
        <v>10</v>
      </c>
      <c r="J5">
        <v>11</v>
      </c>
      <c r="K5">
        <f t="shared" si="0"/>
        <v>10</v>
      </c>
    </row>
    <row r="6" spans="1:11" x14ac:dyDescent="0.25">
      <c r="A6">
        <v>3</v>
      </c>
      <c r="B6" t="s">
        <v>195</v>
      </c>
      <c r="C6">
        <v>1120</v>
      </c>
      <c r="H6">
        <v>13</v>
      </c>
      <c r="I6">
        <f t="shared" si="0"/>
        <v>10</v>
      </c>
      <c r="J6">
        <v>12</v>
      </c>
      <c r="K6">
        <f t="shared" si="0"/>
        <v>10</v>
      </c>
    </row>
    <row r="7" spans="1:11" x14ac:dyDescent="0.25">
      <c r="A7">
        <v>4</v>
      </c>
      <c r="B7" t="s">
        <v>209</v>
      </c>
      <c r="C7">
        <v>920</v>
      </c>
      <c r="D7" t="s">
        <v>219</v>
      </c>
      <c r="H7">
        <v>14</v>
      </c>
      <c r="I7">
        <f t="shared" si="0"/>
        <v>10</v>
      </c>
      <c r="J7">
        <v>13</v>
      </c>
      <c r="K7">
        <f t="shared" si="0"/>
        <v>10</v>
      </c>
    </row>
    <row r="8" spans="1:11" x14ac:dyDescent="0.25">
      <c r="A8">
        <v>5</v>
      </c>
      <c r="B8" t="s">
        <v>222</v>
      </c>
      <c r="C8">
        <v>1000</v>
      </c>
      <c r="H8">
        <v>15</v>
      </c>
      <c r="I8">
        <f t="shared" si="0"/>
        <v>10</v>
      </c>
      <c r="J8">
        <v>14</v>
      </c>
      <c r="K8">
        <f t="shared" si="0"/>
        <v>10</v>
      </c>
    </row>
    <row r="9" spans="1:11" x14ac:dyDescent="0.25">
      <c r="H9">
        <v>16</v>
      </c>
      <c r="I9">
        <f t="shared" si="0"/>
        <v>10</v>
      </c>
      <c r="J9">
        <v>15</v>
      </c>
      <c r="K9">
        <f t="shared" si="0"/>
        <v>10</v>
      </c>
    </row>
    <row r="10" spans="1:11" x14ac:dyDescent="0.25">
      <c r="H10">
        <v>21</v>
      </c>
      <c r="I10">
        <f t="shared" si="0"/>
        <v>20</v>
      </c>
      <c r="J10">
        <v>16</v>
      </c>
      <c r="K10">
        <f t="shared" si="0"/>
        <v>10</v>
      </c>
    </row>
    <row r="11" spans="1:11" x14ac:dyDescent="0.25">
      <c r="H11">
        <v>22</v>
      </c>
      <c r="I11">
        <f t="shared" si="0"/>
        <v>20</v>
      </c>
      <c r="J11">
        <v>17</v>
      </c>
      <c r="K11">
        <f t="shared" si="0"/>
        <v>10</v>
      </c>
    </row>
    <row r="12" spans="1:11" x14ac:dyDescent="0.25">
      <c r="H12">
        <v>23</v>
      </c>
      <c r="I12">
        <f t="shared" si="0"/>
        <v>20</v>
      </c>
      <c r="J12">
        <v>19</v>
      </c>
      <c r="K12">
        <f t="shared" si="0"/>
        <v>10</v>
      </c>
    </row>
    <row r="13" spans="1:11" x14ac:dyDescent="0.25">
      <c r="H13">
        <v>24</v>
      </c>
      <c r="I13">
        <f t="shared" si="0"/>
        <v>20</v>
      </c>
      <c r="J13">
        <v>20</v>
      </c>
      <c r="K13">
        <f t="shared" si="0"/>
        <v>20</v>
      </c>
    </row>
    <row r="14" spans="1:11" x14ac:dyDescent="0.25">
      <c r="H14">
        <v>25</v>
      </c>
      <c r="I14">
        <f t="shared" si="0"/>
        <v>20</v>
      </c>
      <c r="J14">
        <v>21</v>
      </c>
      <c r="K14">
        <f t="shared" si="0"/>
        <v>20</v>
      </c>
    </row>
    <row r="15" spans="1:11" x14ac:dyDescent="0.25">
      <c r="H15">
        <v>26</v>
      </c>
      <c r="I15">
        <f t="shared" si="0"/>
        <v>20</v>
      </c>
      <c r="J15">
        <v>22</v>
      </c>
      <c r="K15">
        <f t="shared" si="0"/>
        <v>20</v>
      </c>
    </row>
    <row r="16" spans="1:11" x14ac:dyDescent="0.25">
      <c r="H16">
        <v>31</v>
      </c>
      <c r="I16">
        <f t="shared" si="0"/>
        <v>30</v>
      </c>
      <c r="J16">
        <v>23</v>
      </c>
      <c r="K16">
        <f t="shared" si="0"/>
        <v>20</v>
      </c>
    </row>
    <row r="17" spans="8:11" x14ac:dyDescent="0.25">
      <c r="H17">
        <v>32</v>
      </c>
      <c r="I17">
        <f t="shared" si="0"/>
        <v>30</v>
      </c>
      <c r="J17">
        <v>24</v>
      </c>
      <c r="K17">
        <f t="shared" si="0"/>
        <v>20</v>
      </c>
    </row>
    <row r="18" spans="8:11" x14ac:dyDescent="0.25">
      <c r="H18">
        <v>33</v>
      </c>
      <c r="I18">
        <f t="shared" si="0"/>
        <v>30</v>
      </c>
      <c r="J18">
        <v>25</v>
      </c>
      <c r="K18">
        <f t="shared" si="0"/>
        <v>20</v>
      </c>
    </row>
    <row r="19" spans="8:11" x14ac:dyDescent="0.25">
      <c r="H19">
        <v>34</v>
      </c>
      <c r="I19">
        <f t="shared" si="0"/>
        <v>30</v>
      </c>
      <c r="J19">
        <v>26</v>
      </c>
      <c r="K19">
        <f t="shared" si="0"/>
        <v>20</v>
      </c>
    </row>
    <row r="20" spans="8:11" x14ac:dyDescent="0.25">
      <c r="H20">
        <v>35</v>
      </c>
      <c r="I20">
        <f t="shared" si="0"/>
        <v>30</v>
      </c>
      <c r="J20">
        <v>27</v>
      </c>
      <c r="K20">
        <f t="shared" si="0"/>
        <v>20</v>
      </c>
    </row>
    <row r="21" spans="8:11" x14ac:dyDescent="0.25">
      <c r="H21">
        <v>36</v>
      </c>
      <c r="I21">
        <f t="shared" si="0"/>
        <v>30</v>
      </c>
      <c r="J21">
        <v>28</v>
      </c>
      <c r="K21">
        <f t="shared" si="0"/>
        <v>20</v>
      </c>
    </row>
    <row r="22" spans="8:11" x14ac:dyDescent="0.25">
      <c r="H22">
        <v>41</v>
      </c>
      <c r="I22">
        <f t="shared" si="0"/>
        <v>40</v>
      </c>
      <c r="J22">
        <v>29</v>
      </c>
      <c r="K22">
        <f t="shared" si="0"/>
        <v>20</v>
      </c>
    </row>
    <row r="23" spans="8:11" x14ac:dyDescent="0.25">
      <c r="H23">
        <v>42</v>
      </c>
      <c r="I23">
        <f t="shared" si="0"/>
        <v>40</v>
      </c>
      <c r="J23">
        <v>30</v>
      </c>
      <c r="K23">
        <f t="shared" si="0"/>
        <v>30</v>
      </c>
    </row>
    <row r="24" spans="8:11" x14ac:dyDescent="0.25">
      <c r="H24">
        <v>43</v>
      </c>
      <c r="I24">
        <f t="shared" si="0"/>
        <v>40</v>
      </c>
      <c r="J24">
        <v>31</v>
      </c>
      <c r="K24">
        <f t="shared" si="0"/>
        <v>30</v>
      </c>
    </row>
    <row r="25" spans="8:11" x14ac:dyDescent="0.25">
      <c r="H25">
        <v>44</v>
      </c>
      <c r="I25">
        <f t="shared" si="0"/>
        <v>40</v>
      </c>
      <c r="J25">
        <v>32</v>
      </c>
      <c r="K25">
        <f t="shared" si="0"/>
        <v>30</v>
      </c>
    </row>
    <row r="26" spans="8:11" x14ac:dyDescent="0.25">
      <c r="H26">
        <v>45</v>
      </c>
      <c r="I26">
        <f t="shared" si="0"/>
        <v>40</v>
      </c>
      <c r="J26">
        <v>33</v>
      </c>
      <c r="K26">
        <f t="shared" si="0"/>
        <v>30</v>
      </c>
    </row>
    <row r="27" spans="8:11" x14ac:dyDescent="0.25">
      <c r="H27">
        <v>46</v>
      </c>
      <c r="I27">
        <f t="shared" si="0"/>
        <v>40</v>
      </c>
      <c r="J27">
        <v>34</v>
      </c>
      <c r="K27">
        <f t="shared" si="0"/>
        <v>30</v>
      </c>
    </row>
    <row r="28" spans="8:11" x14ac:dyDescent="0.25">
      <c r="H28">
        <v>51</v>
      </c>
      <c r="I28">
        <f t="shared" si="0"/>
        <v>50</v>
      </c>
      <c r="J28">
        <v>35</v>
      </c>
      <c r="K28">
        <f t="shared" si="0"/>
        <v>30</v>
      </c>
    </row>
    <row r="29" spans="8:11" x14ac:dyDescent="0.25">
      <c r="H29">
        <v>52</v>
      </c>
      <c r="I29">
        <f t="shared" si="0"/>
        <v>50</v>
      </c>
      <c r="J29">
        <v>36</v>
      </c>
      <c r="K29">
        <f t="shared" si="0"/>
        <v>30</v>
      </c>
    </row>
    <row r="30" spans="8:11" x14ac:dyDescent="0.25">
      <c r="H30">
        <v>53</v>
      </c>
      <c r="I30">
        <f t="shared" si="0"/>
        <v>50</v>
      </c>
      <c r="J30">
        <v>37</v>
      </c>
      <c r="K30">
        <f t="shared" si="0"/>
        <v>30</v>
      </c>
    </row>
    <row r="31" spans="8:11" x14ac:dyDescent="0.25">
      <c r="H31">
        <v>54</v>
      </c>
      <c r="I31">
        <f t="shared" si="0"/>
        <v>50</v>
      </c>
      <c r="J31">
        <v>38</v>
      </c>
      <c r="K31">
        <f t="shared" si="0"/>
        <v>30</v>
      </c>
    </row>
    <row r="32" spans="8:11" x14ac:dyDescent="0.25">
      <c r="H32">
        <v>55</v>
      </c>
      <c r="I32">
        <f t="shared" si="0"/>
        <v>50</v>
      </c>
      <c r="J32">
        <v>39</v>
      </c>
      <c r="K32">
        <f t="shared" si="0"/>
        <v>30</v>
      </c>
    </row>
    <row r="33" spans="8:11" x14ac:dyDescent="0.25">
      <c r="H33">
        <v>56</v>
      </c>
      <c r="I33">
        <f t="shared" si="0"/>
        <v>50</v>
      </c>
      <c r="J33">
        <v>40</v>
      </c>
      <c r="K33">
        <f t="shared" si="0"/>
        <v>40</v>
      </c>
    </row>
    <row r="34" spans="8:11" x14ac:dyDescent="0.25">
      <c r="H34">
        <v>57</v>
      </c>
      <c r="I34">
        <f t="shared" si="0"/>
        <v>50</v>
      </c>
      <c r="J34">
        <v>41</v>
      </c>
      <c r="K34">
        <f t="shared" si="0"/>
        <v>40</v>
      </c>
    </row>
    <row r="35" spans="8:11" x14ac:dyDescent="0.25">
      <c r="H35">
        <v>58</v>
      </c>
      <c r="I35">
        <f t="shared" si="0"/>
        <v>50</v>
      </c>
      <c r="J35">
        <v>42</v>
      </c>
      <c r="K35">
        <f t="shared" si="0"/>
        <v>40</v>
      </c>
    </row>
    <row r="36" spans="8:11" x14ac:dyDescent="0.25">
      <c r="J36">
        <v>43</v>
      </c>
      <c r="K36">
        <f t="shared" si="0"/>
        <v>40</v>
      </c>
    </row>
    <row r="37" spans="8:11" x14ac:dyDescent="0.25">
      <c r="J37">
        <v>44</v>
      </c>
      <c r="K37">
        <f t="shared" si="0"/>
        <v>40</v>
      </c>
    </row>
    <row r="38" spans="8:11" x14ac:dyDescent="0.25">
      <c r="J38">
        <v>45</v>
      </c>
      <c r="K38">
        <f t="shared" si="0"/>
        <v>40</v>
      </c>
    </row>
    <row r="39" spans="8:11" x14ac:dyDescent="0.25">
      <c r="H39">
        <f>COUNT(H4:H35)</f>
        <v>32</v>
      </c>
      <c r="I39">
        <f>SUM(I4:I38)</f>
        <v>1000</v>
      </c>
      <c r="J39">
        <v>46</v>
      </c>
      <c r="K39">
        <f t="shared" si="0"/>
        <v>40</v>
      </c>
    </row>
    <row r="40" spans="8:11" x14ac:dyDescent="0.25">
      <c r="J40">
        <v>50</v>
      </c>
      <c r="K40">
        <f t="shared" si="0"/>
        <v>50</v>
      </c>
    </row>
    <row r="41" spans="8:11" x14ac:dyDescent="0.25">
      <c r="K41">
        <f t="shared" si="0"/>
        <v>0</v>
      </c>
    </row>
    <row r="42" spans="8:11" x14ac:dyDescent="0.25">
      <c r="K42">
        <f t="shared" si="0"/>
        <v>0</v>
      </c>
    </row>
    <row r="43" spans="8:11" x14ac:dyDescent="0.25">
      <c r="K43">
        <f t="shared" si="0"/>
        <v>0</v>
      </c>
    </row>
    <row r="45" spans="8:11" x14ac:dyDescent="0.25">
      <c r="K45">
        <f>SUM(K4:K44)</f>
        <v>920</v>
      </c>
    </row>
  </sheetData>
  <sortState xmlns:xlrd2="http://schemas.microsoft.com/office/spreadsheetml/2017/richdata2" ref="H4:H35">
    <sortCondition ref="H4:H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355F-2225-49B3-9A4A-B15E27837D04}">
  <dimension ref="A1:M39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22" sqref="F22"/>
    </sheetView>
  </sheetViews>
  <sheetFormatPr defaultRowHeight="15" outlineLevelCol="1" x14ac:dyDescent="0.25"/>
  <cols>
    <col min="8" max="8" width="10.140625" style="23" bestFit="1" customWidth="1"/>
    <col min="9" max="9" width="10.140625" style="53" customWidth="1"/>
    <col min="11" max="11" width="0" style="4" hidden="1" customWidth="1" outlineLevel="1"/>
    <col min="12" max="12" width="0" hidden="1" customWidth="1" outlineLevel="1"/>
    <col min="13" max="13" width="9.140625" collapsed="1"/>
  </cols>
  <sheetData>
    <row r="1" spans="1:12" x14ac:dyDescent="0.25">
      <c r="A1" s="1" t="s">
        <v>149</v>
      </c>
      <c r="H1" s="23" t="s">
        <v>115</v>
      </c>
      <c r="I1" s="51" t="s">
        <v>118</v>
      </c>
      <c r="K1" s="4" t="s">
        <v>104</v>
      </c>
      <c r="L1" t="s">
        <v>114</v>
      </c>
    </row>
    <row r="2" spans="1:12" x14ac:dyDescent="0.25">
      <c r="A2" s="1" t="s">
        <v>38</v>
      </c>
      <c r="B2" s="1"/>
      <c r="C2" s="1" t="s">
        <v>139</v>
      </c>
      <c r="D2" s="1"/>
      <c r="E2" s="1"/>
      <c r="F2" s="1"/>
      <c r="G2" s="1"/>
      <c r="H2" s="24"/>
      <c r="I2" s="29" t="s">
        <v>138</v>
      </c>
      <c r="J2" s="1"/>
      <c r="K2" s="3"/>
      <c r="L2">
        <v>0.7</v>
      </c>
    </row>
    <row r="3" spans="1:12" x14ac:dyDescent="0.25">
      <c r="A3" s="56" t="s">
        <v>4</v>
      </c>
      <c r="B3" s="56" t="s">
        <v>142</v>
      </c>
      <c r="C3" s="1" t="s">
        <v>140</v>
      </c>
      <c r="D3" s="1" t="s">
        <v>141</v>
      </c>
      <c r="E3" s="1" t="s">
        <v>143</v>
      </c>
      <c r="F3" s="1"/>
      <c r="G3" s="1"/>
      <c r="H3" s="24" t="s">
        <v>116</v>
      </c>
      <c r="I3" s="52"/>
      <c r="J3" s="1"/>
      <c r="K3" s="3" t="s">
        <v>5</v>
      </c>
    </row>
    <row r="4" spans="1:12" x14ac:dyDescent="0.25">
      <c r="A4" s="57" t="s">
        <v>6</v>
      </c>
      <c r="B4" s="57">
        <v>0.79</v>
      </c>
      <c r="D4">
        <f>ROUND($B$10*E4/$E$10,3)</f>
        <v>0.78900000000000003</v>
      </c>
      <c r="E4">
        <v>0.78859999999999997</v>
      </c>
      <c r="K4" s="4">
        <f>L4^$L$2</f>
        <v>0.77905591267044905</v>
      </c>
      <c r="L4">
        <v>0.7</v>
      </c>
    </row>
    <row r="5" spans="1:12" x14ac:dyDescent="0.25">
      <c r="A5" s="57" t="s">
        <v>8</v>
      </c>
      <c r="B5" s="57">
        <v>0.84</v>
      </c>
      <c r="D5">
        <f t="shared" ref="D5:D7" si="0">ROUND($B$10*E5/$E$10,3)</f>
        <v>0.84299999999999997</v>
      </c>
      <c r="E5">
        <v>0.84340000000000004</v>
      </c>
      <c r="K5" s="4">
        <f t="shared" ref="K5:K38" si="1">L5^$L$2</f>
        <v>0.80995744887488741</v>
      </c>
      <c r="L5">
        <v>0.74</v>
      </c>
    </row>
    <row r="6" spans="1:12" x14ac:dyDescent="0.25">
      <c r="A6" s="57" t="s">
        <v>10</v>
      </c>
      <c r="B6" s="57">
        <v>0.89</v>
      </c>
      <c r="D6">
        <f t="shared" si="0"/>
        <v>0.88900000000000001</v>
      </c>
      <c r="E6">
        <v>0.88939999999999997</v>
      </c>
      <c r="K6" s="4">
        <f t="shared" si="1"/>
        <v>0.85538767999295051</v>
      </c>
      <c r="L6">
        <v>0.8</v>
      </c>
    </row>
    <row r="7" spans="1:12" x14ac:dyDescent="0.25">
      <c r="A7" s="57" t="s">
        <v>12</v>
      </c>
      <c r="B7" s="57">
        <v>0.93</v>
      </c>
      <c r="D7">
        <f t="shared" si="0"/>
        <v>0.92700000000000005</v>
      </c>
      <c r="E7">
        <v>0.92659999999999998</v>
      </c>
      <c r="K7" s="4">
        <f t="shared" si="1"/>
        <v>0.88510643913119869</v>
      </c>
      <c r="L7">
        <v>0.84</v>
      </c>
    </row>
    <row r="8" spans="1:12" x14ac:dyDescent="0.25">
      <c r="A8" s="57" t="s">
        <v>14</v>
      </c>
      <c r="B8" s="57">
        <v>0.96</v>
      </c>
      <c r="D8">
        <f t="shared" ref="D8:D9" si="2">ROUND($B$10*E8/$E$10,3)</f>
        <v>0.97899999999999998</v>
      </c>
      <c r="E8">
        <v>0.97899999999999998</v>
      </c>
      <c r="F8" s="30" t="str">
        <f t="shared" ref="F8" si="3">CONCATENATE(H8,":",I8)</f>
        <v>:</v>
      </c>
      <c r="G8">
        <f t="shared" ref="G8" si="4">ROUND(H8+(I8/60),2)</f>
        <v>0</v>
      </c>
      <c r="K8" s="4">
        <f t="shared" si="1"/>
        <v>0.91440348061958199</v>
      </c>
      <c r="L8">
        <v>0.88</v>
      </c>
    </row>
    <row r="9" spans="1:12" x14ac:dyDescent="0.25">
      <c r="A9" s="57" t="s">
        <v>16</v>
      </c>
      <c r="B9" s="57">
        <v>0.98</v>
      </c>
      <c r="D9">
        <f t="shared" si="2"/>
        <v>0.996</v>
      </c>
      <c r="E9">
        <v>0.99609999999999999</v>
      </c>
      <c r="F9" s="30"/>
      <c r="K9" s="4">
        <f t="shared" si="1"/>
        <v>0.95046923477974554</v>
      </c>
      <c r="L9">
        <v>0.93</v>
      </c>
    </row>
    <row r="10" spans="1:12" ht="14.25" customHeight="1" x14ac:dyDescent="0.25">
      <c r="A10" s="57" t="s">
        <v>18</v>
      </c>
      <c r="B10" s="57">
        <v>1</v>
      </c>
      <c r="C10">
        <f>ROUND($G$10/G10,3)</f>
        <v>1</v>
      </c>
      <c r="D10">
        <f>ROUND($B$10*E10/$E$10,3)</f>
        <v>1</v>
      </c>
      <c r="E10">
        <v>1</v>
      </c>
      <c r="F10" s="30" t="str">
        <f t="shared" ref="F10:F37" si="5">CONCATENATE(H10,":",I10)</f>
        <v>41:45</v>
      </c>
      <c r="G10">
        <f t="shared" ref="G10:G19" si="6">ROUND(H10+(I10/60),2)</f>
        <v>41.75</v>
      </c>
      <c r="H10" s="28">
        <v>41</v>
      </c>
      <c r="I10" s="54">
        <v>45</v>
      </c>
      <c r="K10" s="4">
        <f t="shared" si="1"/>
        <v>1</v>
      </c>
      <c r="L10">
        <v>1</v>
      </c>
    </row>
    <row r="11" spans="1:12" x14ac:dyDescent="0.25">
      <c r="A11" s="57" t="s">
        <v>117</v>
      </c>
      <c r="B11" s="57">
        <v>0.99</v>
      </c>
      <c r="C11">
        <f>ROUND($G$10/G11,3)</f>
        <v>0.97499999999999998</v>
      </c>
      <c r="D11">
        <f>ROUND($B$10*E11/$E$10,3)</f>
        <v>0.997</v>
      </c>
      <c r="E11">
        <v>0.99739999999999995</v>
      </c>
      <c r="F11" s="30" t="str">
        <f t="shared" si="5"/>
        <v>42:48</v>
      </c>
      <c r="G11">
        <f t="shared" si="6"/>
        <v>42.8</v>
      </c>
      <c r="H11" s="23">
        <v>42</v>
      </c>
      <c r="I11" s="53">
        <v>48</v>
      </c>
      <c r="K11" s="4">
        <f t="shared" ref="K11" si="7">L11^$L$2</f>
        <v>0.95046923477974554</v>
      </c>
      <c r="L11">
        <v>0.93</v>
      </c>
    </row>
    <row r="12" spans="1:12" x14ac:dyDescent="0.25">
      <c r="A12" s="57" t="s">
        <v>20</v>
      </c>
      <c r="B12" s="57">
        <v>0.96</v>
      </c>
      <c r="C12">
        <f t="shared" ref="C12:C19" si="8">ROUND($G$10/G12,3)</f>
        <v>0.94699999999999995</v>
      </c>
      <c r="D12">
        <f t="shared" ref="D12:D21" si="9">ROUND($B$10*E12/$E$10,3)</f>
        <v>0.98099999999999998</v>
      </c>
      <c r="E12">
        <v>0.98129999999999995</v>
      </c>
      <c r="F12" s="30" t="str">
        <f t="shared" si="5"/>
        <v>44:4</v>
      </c>
      <c r="G12">
        <f t="shared" si="6"/>
        <v>44.07</v>
      </c>
      <c r="H12" s="23">
        <v>44</v>
      </c>
      <c r="I12" s="53">
        <v>4</v>
      </c>
      <c r="K12" s="4">
        <f t="shared" si="1"/>
        <v>0.95046923477974554</v>
      </c>
      <c r="L12">
        <v>0.93</v>
      </c>
    </row>
    <row r="13" spans="1:12" x14ac:dyDescent="0.25">
      <c r="A13" s="57" t="s">
        <v>22</v>
      </c>
      <c r="B13" s="57">
        <v>0.93</v>
      </c>
      <c r="C13">
        <f t="shared" si="8"/>
        <v>0.91800000000000004</v>
      </c>
      <c r="D13">
        <f t="shared" si="9"/>
        <v>0.95099999999999996</v>
      </c>
      <c r="E13">
        <v>0.95069999999999999</v>
      </c>
      <c r="F13" s="30" t="str">
        <f t="shared" si="5"/>
        <v>45:28</v>
      </c>
      <c r="G13">
        <f t="shared" si="6"/>
        <v>45.47</v>
      </c>
      <c r="H13" s="23">
        <v>45</v>
      </c>
      <c r="I13" s="53">
        <v>28</v>
      </c>
      <c r="K13" s="4">
        <f t="shared" si="1"/>
        <v>0.9216648070352077</v>
      </c>
      <c r="L13">
        <v>0.89</v>
      </c>
    </row>
    <row r="14" spans="1:12" s="25" customFormat="1" x14ac:dyDescent="0.25">
      <c r="A14" s="57" t="s">
        <v>24</v>
      </c>
      <c r="B14" s="57">
        <f t="shared" ref="B14:B16" si="10">ROUND($G$10/G14,2)</f>
        <v>0.89</v>
      </c>
      <c r="C14">
        <f t="shared" si="8"/>
        <v>0.88800000000000001</v>
      </c>
      <c r="D14">
        <f t="shared" si="9"/>
        <v>0.90600000000000003</v>
      </c>
      <c r="E14">
        <v>0.90549999999999997</v>
      </c>
      <c r="F14" s="30" t="str">
        <f t="shared" si="5"/>
        <v>47:2</v>
      </c>
      <c r="G14">
        <f t="shared" si="6"/>
        <v>47.03</v>
      </c>
      <c r="H14" s="26">
        <v>47</v>
      </c>
      <c r="I14" s="55">
        <v>2</v>
      </c>
      <c r="K14" s="27">
        <f t="shared" si="1"/>
        <v>0.88510643913119869</v>
      </c>
      <c r="L14" s="25">
        <v>0.84</v>
      </c>
    </row>
    <row r="15" spans="1:12" x14ac:dyDescent="0.25">
      <c r="A15" s="57" t="s">
        <v>26</v>
      </c>
      <c r="B15" s="57">
        <f t="shared" si="10"/>
        <v>0.85</v>
      </c>
      <c r="C15">
        <f t="shared" si="8"/>
        <v>0.85399999999999998</v>
      </c>
      <c r="D15">
        <f t="shared" si="9"/>
        <v>0.84899999999999998</v>
      </c>
      <c r="E15">
        <v>0.84930000000000005</v>
      </c>
      <c r="F15" s="30" t="str">
        <f t="shared" si="5"/>
        <v>48:52</v>
      </c>
      <c r="G15">
        <f t="shared" si="6"/>
        <v>48.87</v>
      </c>
      <c r="H15" s="26">
        <v>48</v>
      </c>
      <c r="I15" s="55">
        <v>52</v>
      </c>
      <c r="K15" s="4">
        <f t="shared" si="1"/>
        <v>0.84788892752207734</v>
      </c>
      <c r="L15">
        <v>0.79</v>
      </c>
    </row>
    <row r="16" spans="1:12" x14ac:dyDescent="0.25">
      <c r="A16" s="57" t="s">
        <v>28</v>
      </c>
      <c r="B16" s="57">
        <f t="shared" si="10"/>
        <v>0.82</v>
      </c>
      <c r="C16">
        <f t="shared" si="8"/>
        <v>0.81699999999999995</v>
      </c>
      <c r="D16">
        <f t="shared" si="9"/>
        <v>0.79300000000000004</v>
      </c>
      <c r="E16">
        <v>0.79259999999999997</v>
      </c>
      <c r="F16" s="30" t="str">
        <f t="shared" si="5"/>
        <v>51:7</v>
      </c>
      <c r="G16">
        <f t="shared" si="6"/>
        <v>51.12</v>
      </c>
      <c r="H16" s="26">
        <v>51</v>
      </c>
      <c r="I16" s="55">
        <v>7</v>
      </c>
      <c r="K16" s="4">
        <f t="shared" si="1"/>
        <v>0.80995744887488741</v>
      </c>
      <c r="L16">
        <v>0.74</v>
      </c>
    </row>
    <row r="17" spans="1:12" x14ac:dyDescent="0.25">
      <c r="A17" s="57" t="s">
        <v>30</v>
      </c>
      <c r="B17" s="57">
        <v>0.76</v>
      </c>
      <c r="C17">
        <f t="shared" si="8"/>
        <v>0.77600000000000002</v>
      </c>
      <c r="D17">
        <f t="shared" si="9"/>
        <v>0.73599999999999999</v>
      </c>
      <c r="E17">
        <v>0.7359</v>
      </c>
      <c r="F17" s="30" t="str">
        <f t="shared" si="5"/>
        <v>53:46</v>
      </c>
      <c r="G17">
        <f t="shared" si="6"/>
        <v>53.77</v>
      </c>
      <c r="H17" s="26">
        <v>53</v>
      </c>
      <c r="I17" s="55">
        <v>46</v>
      </c>
      <c r="K17" s="4">
        <f t="shared" si="1"/>
        <v>0.7634071775988811</v>
      </c>
      <c r="L17">
        <v>0.68</v>
      </c>
    </row>
    <row r="18" spans="1:12" x14ac:dyDescent="0.25">
      <c r="A18" s="57" t="s">
        <v>32</v>
      </c>
      <c r="B18" s="57">
        <v>0.7</v>
      </c>
      <c r="C18">
        <f t="shared" si="8"/>
        <v>0.73499999999999999</v>
      </c>
      <c r="D18">
        <f t="shared" si="9"/>
        <v>0.67900000000000005</v>
      </c>
      <c r="E18">
        <v>0.67920000000000003</v>
      </c>
      <c r="F18" s="30" t="str">
        <f t="shared" si="5"/>
        <v>56:49</v>
      </c>
      <c r="G18">
        <f t="shared" si="6"/>
        <v>56.82</v>
      </c>
      <c r="H18" s="26">
        <v>56</v>
      </c>
      <c r="I18" s="55">
        <v>49</v>
      </c>
      <c r="K18" s="4">
        <f t="shared" si="1"/>
        <v>0.69936819041442944</v>
      </c>
      <c r="L18">
        <v>0.6</v>
      </c>
    </row>
    <row r="19" spans="1:12" x14ac:dyDescent="0.25">
      <c r="A19" s="57" t="s">
        <v>34</v>
      </c>
      <c r="B19" s="57">
        <v>0.66</v>
      </c>
      <c r="C19">
        <f t="shared" si="8"/>
        <v>0.69199999999999995</v>
      </c>
      <c r="D19">
        <f t="shared" si="9"/>
        <v>0.622</v>
      </c>
      <c r="E19">
        <v>0.62239999999999995</v>
      </c>
      <c r="F19" s="30" t="str">
        <f t="shared" si="5"/>
        <v>60:20</v>
      </c>
      <c r="G19">
        <f t="shared" si="6"/>
        <v>60.33</v>
      </c>
      <c r="H19" s="28">
        <v>60</v>
      </c>
      <c r="I19" s="54">
        <v>20</v>
      </c>
      <c r="K19" s="4">
        <f t="shared" si="1"/>
        <v>0.64119940210792736</v>
      </c>
      <c r="L19">
        <v>0.53</v>
      </c>
    </row>
    <row r="20" spans="1:12" x14ac:dyDescent="0.25">
      <c r="A20" s="57" t="s">
        <v>36</v>
      </c>
      <c r="B20" s="57">
        <v>0.6</v>
      </c>
      <c r="D20">
        <f t="shared" si="9"/>
        <v>0.56599999999999995</v>
      </c>
      <c r="E20">
        <v>0.56569999999999998</v>
      </c>
      <c r="F20" s="30" t="str">
        <f t="shared" si="5"/>
        <v>:</v>
      </c>
      <c r="K20" s="4">
        <f t="shared" si="1"/>
        <v>0.58067146159285365</v>
      </c>
      <c r="L20">
        <v>0.46</v>
      </c>
    </row>
    <row r="21" spans="1:12" x14ac:dyDescent="0.25">
      <c r="A21" s="57" t="s">
        <v>39</v>
      </c>
      <c r="B21" s="57">
        <v>0.55000000000000004</v>
      </c>
      <c r="D21">
        <f t="shared" si="9"/>
        <v>0.50600000000000001</v>
      </c>
      <c r="E21">
        <v>0.50549999999999995</v>
      </c>
      <c r="F21" s="30" t="str">
        <f t="shared" si="5"/>
        <v>:</v>
      </c>
      <c r="K21" s="4">
        <f t="shared" si="1"/>
        <v>0.52655288173369497</v>
      </c>
      <c r="L21" s="19">
        <v>0.4</v>
      </c>
    </row>
    <row r="22" spans="1:12" x14ac:dyDescent="0.25">
      <c r="A22" s="57" t="s">
        <v>7</v>
      </c>
      <c r="B22" s="57">
        <v>0.74</v>
      </c>
      <c r="D22">
        <f t="shared" ref="D22:D25" si="11">ROUND($B$28*E22/$E$28,3)</f>
        <v>0.74199999999999999</v>
      </c>
      <c r="E22">
        <v>0.84340000000000004</v>
      </c>
      <c r="F22" s="30" t="str">
        <f t="shared" si="5"/>
        <v>:</v>
      </c>
      <c r="K22" s="4">
        <f t="shared" si="1"/>
        <v>0.69936819041442944</v>
      </c>
      <c r="L22">
        <v>0.6</v>
      </c>
    </row>
    <row r="23" spans="1:12" x14ac:dyDescent="0.25">
      <c r="A23" s="57" t="s">
        <v>9</v>
      </c>
      <c r="B23" s="57">
        <v>0.78</v>
      </c>
      <c r="D23">
        <f t="shared" si="11"/>
        <v>0.78300000000000003</v>
      </c>
      <c r="E23">
        <v>0.88939999999999997</v>
      </c>
      <c r="F23" s="30" t="str">
        <f t="shared" si="5"/>
        <v>:</v>
      </c>
      <c r="K23" s="4">
        <f t="shared" si="1"/>
        <v>0.71560634502968545</v>
      </c>
      <c r="L23">
        <v>0.62</v>
      </c>
    </row>
    <row r="24" spans="1:12" x14ac:dyDescent="0.25">
      <c r="A24" s="57" t="s">
        <v>11</v>
      </c>
      <c r="B24" s="57">
        <v>0.81</v>
      </c>
      <c r="D24">
        <f t="shared" si="11"/>
        <v>0.81499999999999995</v>
      </c>
      <c r="E24">
        <v>0.92659999999999998</v>
      </c>
      <c r="F24" s="30" t="str">
        <f t="shared" si="5"/>
        <v>:</v>
      </c>
      <c r="K24" s="4">
        <f t="shared" si="1"/>
        <v>0.73967229070873519</v>
      </c>
      <c r="L24">
        <v>0.65</v>
      </c>
    </row>
    <row r="25" spans="1:12" x14ac:dyDescent="0.25">
      <c r="A25" s="57" t="s">
        <v>13</v>
      </c>
      <c r="B25" s="57">
        <v>0.84</v>
      </c>
      <c r="D25">
        <f t="shared" si="11"/>
        <v>0.84</v>
      </c>
      <c r="E25">
        <v>0.95499999999999996</v>
      </c>
      <c r="F25" s="30" t="str">
        <f t="shared" si="5"/>
        <v>:</v>
      </c>
      <c r="K25" s="4">
        <f t="shared" si="1"/>
        <v>0.75553112773333586</v>
      </c>
      <c r="L25">
        <v>0.67</v>
      </c>
    </row>
    <row r="26" spans="1:12" x14ac:dyDescent="0.25">
      <c r="A26" s="57" t="s">
        <v>15</v>
      </c>
      <c r="B26" s="57">
        <v>0.86</v>
      </c>
      <c r="D26">
        <f>ROUND($B$28*E26/$E$28,3)</f>
        <v>0.86199999999999999</v>
      </c>
      <c r="E26">
        <v>0.97899999999999998</v>
      </c>
      <c r="F26" s="30" t="str">
        <f t="shared" si="5"/>
        <v>:</v>
      </c>
      <c r="K26" s="4">
        <f t="shared" si="1"/>
        <v>0.77905591267044905</v>
      </c>
      <c r="L26">
        <v>0.7</v>
      </c>
    </row>
    <row r="27" spans="1:12" x14ac:dyDescent="0.25">
      <c r="A27" s="57" t="s">
        <v>17</v>
      </c>
      <c r="B27" s="57">
        <v>0.88</v>
      </c>
      <c r="D27">
        <f t="shared" ref="D27" si="12">ROUND($B$28*E27/$E$28,3)</f>
        <v>0.877</v>
      </c>
      <c r="E27">
        <v>0.99609999999999999</v>
      </c>
      <c r="F27" s="30" t="str">
        <f t="shared" si="5"/>
        <v>:</v>
      </c>
      <c r="K27" s="4">
        <f t="shared" si="1"/>
        <v>0.78682988024505818</v>
      </c>
      <c r="L27">
        <v>0.71</v>
      </c>
    </row>
    <row r="28" spans="1:12" x14ac:dyDescent="0.25">
      <c r="A28" s="57" t="s">
        <v>19</v>
      </c>
      <c r="B28" s="57">
        <v>0.88</v>
      </c>
      <c r="C28">
        <f>ROUND($G$10/G28,3)</f>
        <v>0.879</v>
      </c>
      <c r="D28">
        <f>ROUND($B$28*E28/$E$28,3)</f>
        <v>0.88</v>
      </c>
      <c r="E28">
        <v>1</v>
      </c>
      <c r="F28" s="30" t="str">
        <f t="shared" si="5"/>
        <v>47:30</v>
      </c>
      <c r="G28">
        <f t="shared" ref="G28:G37" si="13">ROUND(H28+(I28/60),2)</f>
        <v>47.5</v>
      </c>
      <c r="H28" s="26">
        <v>47</v>
      </c>
      <c r="I28" s="55">
        <v>30</v>
      </c>
      <c r="K28" s="4">
        <f t="shared" si="1"/>
        <v>0.85538767999295051</v>
      </c>
      <c r="L28">
        <v>0.8</v>
      </c>
    </row>
    <row r="29" spans="1:12" x14ac:dyDescent="0.25">
      <c r="A29" s="57" t="s">
        <v>119</v>
      </c>
      <c r="B29" s="57">
        <v>0.87</v>
      </c>
      <c r="C29">
        <f>ROUND($G$10/G29,3)</f>
        <v>0.86399999999999999</v>
      </c>
      <c r="D29">
        <f t="shared" ref="D29:D39" si="14">ROUND($B$28*E29/$E$28,3)</f>
        <v>0.878</v>
      </c>
      <c r="E29">
        <v>0.99739999999999995</v>
      </c>
      <c r="F29" s="30" t="str">
        <f t="shared" si="5"/>
        <v>48:20</v>
      </c>
      <c r="G29">
        <f t="shared" si="13"/>
        <v>48.33</v>
      </c>
      <c r="H29" s="23">
        <v>48</v>
      </c>
      <c r="I29" s="53">
        <v>20</v>
      </c>
      <c r="K29" s="4">
        <f t="shared" ref="K29" si="15">L29^$L$2</f>
        <v>0.78682988024505818</v>
      </c>
      <c r="L29">
        <v>0.71</v>
      </c>
    </row>
    <row r="30" spans="1:12" x14ac:dyDescent="0.25">
      <c r="A30" s="57" t="s">
        <v>21</v>
      </c>
      <c r="B30" s="57">
        <v>0.85</v>
      </c>
      <c r="C30">
        <f t="shared" ref="C30:C36" si="16">ROUND($G$10/G30,3)</f>
        <v>0.83599999999999997</v>
      </c>
      <c r="D30">
        <f t="shared" si="14"/>
        <v>0.86399999999999999</v>
      </c>
      <c r="E30">
        <v>0.98129999999999995</v>
      </c>
      <c r="F30" s="30" t="str">
        <f t="shared" si="5"/>
        <v>49:57</v>
      </c>
      <c r="G30">
        <f t="shared" si="13"/>
        <v>49.95</v>
      </c>
      <c r="H30" s="23">
        <v>49</v>
      </c>
      <c r="I30" s="53">
        <v>57</v>
      </c>
      <c r="K30" s="4">
        <f t="shared" si="1"/>
        <v>0.78682988024505818</v>
      </c>
      <c r="L30">
        <v>0.71</v>
      </c>
    </row>
    <row r="31" spans="1:12" x14ac:dyDescent="0.25">
      <c r="A31" s="57" t="s">
        <v>23</v>
      </c>
      <c r="B31" s="57">
        <v>0.82</v>
      </c>
      <c r="C31">
        <f t="shared" si="16"/>
        <v>0.80700000000000005</v>
      </c>
      <c r="D31">
        <f t="shared" si="14"/>
        <v>0.83699999999999997</v>
      </c>
      <c r="E31">
        <v>0.95069999999999999</v>
      </c>
      <c r="F31" s="30" t="str">
        <f t="shared" si="5"/>
        <v>51:44</v>
      </c>
      <c r="G31">
        <f t="shared" si="13"/>
        <v>51.73</v>
      </c>
      <c r="H31" s="23">
        <v>51</v>
      </c>
      <c r="I31" s="53">
        <v>44</v>
      </c>
      <c r="K31" s="4">
        <f t="shared" si="1"/>
        <v>0.75553112773333586</v>
      </c>
      <c r="L31">
        <v>0.67</v>
      </c>
    </row>
    <row r="32" spans="1:12" x14ac:dyDescent="0.25">
      <c r="A32" s="57" t="s">
        <v>25</v>
      </c>
      <c r="B32" s="57">
        <v>0.79</v>
      </c>
      <c r="C32">
        <f t="shared" si="16"/>
        <v>0.77700000000000002</v>
      </c>
      <c r="D32">
        <f t="shared" si="14"/>
        <v>0.79700000000000004</v>
      </c>
      <c r="E32">
        <v>0.90549999999999997</v>
      </c>
      <c r="F32" s="30" t="str">
        <f t="shared" si="5"/>
        <v>53:42</v>
      </c>
      <c r="G32">
        <f t="shared" si="13"/>
        <v>53.7</v>
      </c>
      <c r="H32" s="23">
        <v>53</v>
      </c>
      <c r="I32" s="53">
        <v>42</v>
      </c>
      <c r="K32" s="4">
        <f t="shared" si="1"/>
        <v>0.71560634502968545</v>
      </c>
      <c r="L32">
        <v>0.62</v>
      </c>
    </row>
    <row r="33" spans="1:12" x14ac:dyDescent="0.25">
      <c r="A33" s="57" t="s">
        <v>27</v>
      </c>
      <c r="B33" s="57">
        <f t="shared" ref="B33" si="17">ROUND($G$10/G33,2)</f>
        <v>0.75</v>
      </c>
      <c r="C33">
        <f t="shared" si="16"/>
        <v>0.745</v>
      </c>
      <c r="D33">
        <f t="shared" si="14"/>
        <v>0.747</v>
      </c>
      <c r="E33">
        <v>0.84930000000000005</v>
      </c>
      <c r="F33" s="30" t="str">
        <f t="shared" si="5"/>
        <v>56:2</v>
      </c>
      <c r="G33">
        <f t="shared" si="13"/>
        <v>56.03</v>
      </c>
      <c r="H33" s="26">
        <v>56</v>
      </c>
      <c r="I33" s="55">
        <v>2</v>
      </c>
      <c r="J33" s="25"/>
      <c r="K33" s="4">
        <f t="shared" si="1"/>
        <v>0.67470262367137179</v>
      </c>
      <c r="L33">
        <v>0.56999999999999995</v>
      </c>
    </row>
    <row r="34" spans="1:12" x14ac:dyDescent="0.25">
      <c r="A34" s="57" t="s">
        <v>29</v>
      </c>
      <c r="B34" s="57">
        <v>0.7</v>
      </c>
      <c r="C34">
        <f t="shared" si="16"/>
        <v>0.70799999999999996</v>
      </c>
      <c r="D34">
        <f t="shared" si="14"/>
        <v>0.69699999999999995</v>
      </c>
      <c r="E34">
        <v>0.79259999999999997</v>
      </c>
      <c r="F34" s="30" t="str">
        <f t="shared" si="5"/>
        <v>58:56</v>
      </c>
      <c r="G34">
        <f t="shared" si="13"/>
        <v>58.93</v>
      </c>
      <c r="H34" s="26">
        <v>58</v>
      </c>
      <c r="I34" s="55">
        <v>56</v>
      </c>
      <c r="K34" s="4">
        <f t="shared" si="1"/>
        <v>0.64119940210792736</v>
      </c>
      <c r="L34">
        <v>0.53</v>
      </c>
    </row>
    <row r="35" spans="1:12" x14ac:dyDescent="0.25">
      <c r="A35" s="57" t="s">
        <v>31</v>
      </c>
      <c r="B35" s="57">
        <v>0.66</v>
      </c>
      <c r="C35">
        <f t="shared" si="16"/>
        <v>0.66900000000000004</v>
      </c>
      <c r="D35">
        <f t="shared" si="14"/>
        <v>0.64800000000000002</v>
      </c>
      <c r="E35">
        <v>0.7359</v>
      </c>
      <c r="F35" s="30" t="str">
        <f t="shared" si="5"/>
        <v>62:24</v>
      </c>
      <c r="G35">
        <f t="shared" si="13"/>
        <v>62.4</v>
      </c>
      <c r="H35" s="26">
        <v>62</v>
      </c>
      <c r="I35" s="55">
        <v>24</v>
      </c>
      <c r="K35" s="4">
        <f t="shared" si="1"/>
        <v>0.5982309338594668</v>
      </c>
      <c r="L35">
        <v>0.48</v>
      </c>
    </row>
    <row r="36" spans="1:12" x14ac:dyDescent="0.25">
      <c r="A36" s="57" t="s">
        <v>33</v>
      </c>
      <c r="B36" s="57">
        <v>0.61</v>
      </c>
      <c r="C36">
        <f t="shared" si="16"/>
        <v>0.628</v>
      </c>
      <c r="D36">
        <f t="shared" si="14"/>
        <v>0.59799999999999998</v>
      </c>
      <c r="E36">
        <v>0.67920000000000003</v>
      </c>
      <c r="F36" s="30" t="str">
        <f t="shared" si="5"/>
        <v>66:26</v>
      </c>
      <c r="G36">
        <f t="shared" si="13"/>
        <v>66.430000000000007</v>
      </c>
      <c r="H36" s="26">
        <v>66</v>
      </c>
      <c r="I36" s="55">
        <v>26</v>
      </c>
      <c r="K36" s="4">
        <f t="shared" si="1"/>
        <v>0.5628813683539724</v>
      </c>
      <c r="L36">
        <v>0.44</v>
      </c>
    </row>
    <row r="37" spans="1:12" x14ac:dyDescent="0.25">
      <c r="A37" s="57" t="s">
        <v>35</v>
      </c>
      <c r="B37" s="57">
        <v>0.56999999999999995</v>
      </c>
      <c r="C37">
        <f>ROUND($G$10/G37,3)</f>
        <v>0.58799999999999997</v>
      </c>
      <c r="D37">
        <f t="shared" si="14"/>
        <v>0.54800000000000004</v>
      </c>
      <c r="E37">
        <v>0.62239999999999995</v>
      </c>
      <c r="F37" s="30" t="str">
        <f t="shared" si="5"/>
        <v>71:0</v>
      </c>
      <c r="G37">
        <f t="shared" si="13"/>
        <v>71</v>
      </c>
      <c r="H37" s="26">
        <v>71</v>
      </c>
      <c r="I37" s="55">
        <v>0</v>
      </c>
      <c r="K37" s="4">
        <f t="shared" si="1"/>
        <v>0.51730327145266397</v>
      </c>
      <c r="L37">
        <v>0.39</v>
      </c>
    </row>
    <row r="38" spans="1:12" x14ac:dyDescent="0.25">
      <c r="A38" s="57" t="s">
        <v>37</v>
      </c>
      <c r="B38" s="57">
        <v>0.5</v>
      </c>
      <c r="D38">
        <f t="shared" si="14"/>
        <v>0.498</v>
      </c>
      <c r="E38">
        <v>0.56569999999999998</v>
      </c>
      <c r="F38" s="30"/>
      <c r="K38" s="4">
        <f t="shared" si="1"/>
        <v>0.47956516728377413</v>
      </c>
      <c r="L38">
        <v>0.35</v>
      </c>
    </row>
    <row r="39" spans="1:12" x14ac:dyDescent="0.25">
      <c r="A39" s="57" t="s">
        <v>40</v>
      </c>
      <c r="B39" s="57">
        <v>0.45</v>
      </c>
      <c r="D39">
        <f t="shared" si="14"/>
        <v>0.44500000000000001</v>
      </c>
      <c r="E39">
        <v>0.50549999999999995</v>
      </c>
      <c r="F39" s="30"/>
    </row>
  </sheetData>
  <hyperlinks>
    <hyperlink ref="I1" r:id="rId1" xr:uid="{BBCF3233-CC76-41B3-BA0A-B004D3D5FAA2}"/>
    <hyperlink ref="I2" r:id="rId2" xr:uid="{FB81C215-006B-440F-83C0-7FAFF0D7B29A}"/>
  </hyperlinks>
  <pageMargins left="0.7" right="0.7" top="0.75" bottom="0.75" header="0.3" footer="0.3"/>
  <pageSetup paperSize="9" orientation="portrait" horizont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5F7B-3B9A-440B-B634-BBBA911E39D8}">
  <dimension ref="A1:C10"/>
  <sheetViews>
    <sheetView workbookViewId="0">
      <selection activeCell="E25" sqref="E25"/>
    </sheetView>
  </sheetViews>
  <sheetFormatPr defaultRowHeight="15" x14ac:dyDescent="0.25"/>
  <cols>
    <col min="1" max="1" width="10.140625" bestFit="1" customWidth="1"/>
  </cols>
  <sheetData>
    <row r="1" spans="1:3" x14ac:dyDescent="0.25">
      <c r="A1" s="1" t="s">
        <v>154</v>
      </c>
    </row>
    <row r="2" spans="1:3" x14ac:dyDescent="0.25">
      <c r="A2" s="1" t="s">
        <v>80</v>
      </c>
    </row>
    <row r="4" spans="1:3" s="1" customFormat="1" x14ac:dyDescent="0.25">
      <c r="B4" s="1" t="s">
        <v>48</v>
      </c>
      <c r="C4" s="1" t="s">
        <v>3</v>
      </c>
    </row>
    <row r="5" spans="1:3" x14ac:dyDescent="0.25">
      <c r="A5" t="s">
        <v>44</v>
      </c>
      <c r="B5">
        <v>8.5</v>
      </c>
      <c r="C5">
        <v>11</v>
      </c>
    </row>
    <row r="6" spans="1:3" x14ac:dyDescent="0.25">
      <c r="A6" t="s">
        <v>152</v>
      </c>
      <c r="B6">
        <v>6.4</v>
      </c>
      <c r="C6">
        <v>8.67</v>
      </c>
    </row>
    <row r="7" spans="1:3" x14ac:dyDescent="0.25">
      <c r="A7" t="s">
        <v>47</v>
      </c>
      <c r="B7">
        <v>6.67</v>
      </c>
      <c r="C7">
        <v>8.1</v>
      </c>
    </row>
    <row r="8" spans="1:3" x14ac:dyDescent="0.25">
      <c r="A8" t="s">
        <v>111</v>
      </c>
      <c r="B8">
        <v>7.25</v>
      </c>
      <c r="C8" s="25">
        <v>9</v>
      </c>
    </row>
    <row r="9" spans="1:3" x14ac:dyDescent="0.25">
      <c r="A9" t="s">
        <v>98</v>
      </c>
      <c r="B9">
        <v>6.5</v>
      </c>
      <c r="C9">
        <v>9.25</v>
      </c>
    </row>
    <row r="10" spans="1:3" x14ac:dyDescent="0.25">
      <c r="A10" t="s">
        <v>113</v>
      </c>
      <c r="B10">
        <v>6.5</v>
      </c>
      <c r="C10">
        <v>8.5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handicap lge</vt:lpstr>
      <vt:lpstr>league</vt:lpstr>
      <vt:lpstr>Calculator</vt:lpstr>
      <vt:lpstr>events</vt:lpstr>
      <vt:lpstr>handicap</vt:lpstr>
      <vt:lpstr>lengths</vt:lpstr>
      <vt:lpstr>HANDI</vt:lpstr>
      <vt:lpstr>Calculator!Print_Area</vt:lpstr>
      <vt:lpstr>Calculator!Print_Titles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cp:lastPrinted>2021-06-16T19:19:40Z</cp:lastPrinted>
  <dcterms:created xsi:type="dcterms:W3CDTF">2019-02-23T09:16:30Z</dcterms:created>
  <dcterms:modified xsi:type="dcterms:W3CDTF">2021-06-16T19:32:00Z</dcterms:modified>
</cp:coreProperties>
</file>